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RodrigoPena\Downloads\"/>
    </mc:Choice>
  </mc:AlternateContent>
  <xr:revisionPtr revIDLastSave="0" documentId="13_ncr:1_{ACEABB9A-AC26-4B7D-BBFB-5F7995B5121D}" xr6:coauthVersionLast="47" xr6:coauthVersionMax="47" xr10:uidLastSave="{00000000-0000-0000-0000-000000000000}"/>
  <bookViews>
    <workbookView xWindow="28680" yWindow="1620" windowWidth="29040" windowHeight="15720" tabRatio="875" xr2:uid="{00000000-000D-0000-FFFF-FFFF00000000}"/>
  </bookViews>
  <sheets>
    <sheet name="Resultados" sheetId="11" r:id="rId1"/>
    <sheet name="Memoria de calculo - NR8" sheetId="9" r:id="rId2"/>
    <sheet name="Memoria de calculo - NR9" sheetId="12" r:id="rId3"/>
    <sheet name="Diagnostico" sheetId="13" r:id="rId4"/>
    <sheet name="Parametros" sheetId="2" r:id="rId5"/>
    <sheet name="Base_SINISA_Agua" sheetId="3" r:id="rId6"/>
    <sheet name="Base_SINISA_Esgoto" sheetId="4" r:id="rId7"/>
    <sheet name="Base_Denominadores" sheetId="5" r:id="rId8"/>
    <sheet name="Sol_Alternativas" sheetId="6" r:id="rId9"/>
    <sheet name="Base_SINISA_2023" sheetId="7" r:id="rId10"/>
    <sheet name="Base_SINISA_Esgoto_2023" sheetId="8" r:id="rId11"/>
    <sheet name="Controle_Oficios" sheetId="10" r:id="rId12"/>
    <sheet name="Verificacao_Integridade" sheetId="14" r:id="rId13"/>
    <sheet name="Leia-me" sheetId="1" r:id="rId1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2" i="14" l="1"/>
  <c r="K42" i="14"/>
  <c r="J42" i="14"/>
  <c r="I42" i="14"/>
  <c r="H42" i="14"/>
  <c r="G42" i="14"/>
  <c r="F42" i="14"/>
  <c r="E42" i="14"/>
  <c r="D42" i="14"/>
  <c r="C42" i="14"/>
  <c r="L41" i="14"/>
  <c r="K41" i="14"/>
  <c r="J41" i="14"/>
  <c r="I41" i="14"/>
  <c r="H41" i="14"/>
  <c r="G41" i="14"/>
  <c r="F41" i="14"/>
  <c r="E41" i="14"/>
  <c r="D41" i="14"/>
  <c r="C41" i="14"/>
  <c r="L40" i="14"/>
  <c r="K40" i="14"/>
  <c r="J40" i="14"/>
  <c r="I40" i="14"/>
  <c r="H40" i="14"/>
  <c r="G40" i="14"/>
  <c r="F40" i="14"/>
  <c r="E40" i="14"/>
  <c r="D40" i="14"/>
  <c r="C40" i="14"/>
  <c r="L39" i="14"/>
  <c r="K39" i="14"/>
  <c r="J39" i="14"/>
  <c r="I39" i="14"/>
  <c r="H39" i="14"/>
  <c r="G39" i="14"/>
  <c r="F39" i="14"/>
  <c r="E39" i="14"/>
  <c r="D39" i="14"/>
  <c r="C39" i="14"/>
  <c r="L38" i="14"/>
  <c r="K38" i="14"/>
  <c r="J38" i="14"/>
  <c r="I38" i="14"/>
  <c r="H38" i="14"/>
  <c r="G38" i="14"/>
  <c r="F38" i="14"/>
  <c r="E38" i="14"/>
  <c r="D38" i="14"/>
  <c r="C38" i="14"/>
  <c r="L37" i="14"/>
  <c r="K37" i="14"/>
  <c r="J37" i="14"/>
  <c r="I37" i="14"/>
  <c r="H37" i="14"/>
  <c r="G37" i="14"/>
  <c r="F37" i="14"/>
  <c r="E37" i="14"/>
  <c r="D37" i="14"/>
  <c r="C37" i="14"/>
  <c r="L36" i="14"/>
  <c r="K36" i="14"/>
  <c r="J36" i="14"/>
  <c r="I36" i="14"/>
  <c r="H36" i="14"/>
  <c r="G36" i="14"/>
  <c r="F36" i="14"/>
  <c r="E36" i="14"/>
  <c r="D36" i="14"/>
  <c r="C36" i="14"/>
  <c r="L35" i="14"/>
  <c r="K35" i="14"/>
  <c r="J35" i="14"/>
  <c r="I35" i="14"/>
  <c r="H35" i="14"/>
  <c r="G35" i="14"/>
  <c r="F35" i="14"/>
  <c r="E35" i="14"/>
  <c r="D35" i="14"/>
  <c r="C35" i="14"/>
  <c r="L34" i="14"/>
  <c r="K34" i="14"/>
  <c r="J34" i="14"/>
  <c r="I34" i="14"/>
  <c r="H34" i="14"/>
  <c r="G34" i="14"/>
  <c r="F34" i="14"/>
  <c r="E34" i="14"/>
  <c r="D34" i="14"/>
  <c r="C34" i="14"/>
  <c r="L33" i="14"/>
  <c r="K33" i="14"/>
  <c r="J33" i="14"/>
  <c r="I33" i="14"/>
  <c r="H33" i="14"/>
  <c r="G33" i="14"/>
  <c r="F33" i="14"/>
  <c r="E33" i="14"/>
  <c r="D33" i="14"/>
  <c r="C33" i="14"/>
  <c r="L32" i="14"/>
  <c r="K32" i="14"/>
  <c r="J32" i="14"/>
  <c r="I32" i="14"/>
  <c r="H32" i="14"/>
  <c r="G32" i="14"/>
  <c r="F32" i="14"/>
  <c r="E32" i="14"/>
  <c r="D32" i="14"/>
  <c r="C32" i="14"/>
  <c r="L31" i="14"/>
  <c r="K31" i="14"/>
  <c r="J31" i="14"/>
  <c r="I31" i="14"/>
  <c r="H31" i="14"/>
  <c r="G31" i="14"/>
  <c r="F31" i="14"/>
  <c r="E31" i="14"/>
  <c r="D31" i="14"/>
  <c r="C31" i="14"/>
  <c r="L30" i="14"/>
  <c r="K30" i="14"/>
  <c r="J30" i="14"/>
  <c r="I30" i="14"/>
  <c r="H30" i="14"/>
  <c r="G30" i="14"/>
  <c r="F30" i="14"/>
  <c r="E30" i="14"/>
  <c r="D30" i="14"/>
  <c r="C30" i="14"/>
  <c r="L29" i="14"/>
  <c r="K29" i="14"/>
  <c r="J29" i="14"/>
  <c r="I29" i="14"/>
  <c r="H29" i="14"/>
  <c r="G29" i="14"/>
  <c r="F29" i="14"/>
  <c r="E29" i="14"/>
  <c r="D29" i="14"/>
  <c r="C29" i="14"/>
  <c r="L28" i="14"/>
  <c r="K28" i="14"/>
  <c r="J28" i="14"/>
  <c r="I28" i="14"/>
  <c r="H28" i="14"/>
  <c r="G28" i="14"/>
  <c r="F28" i="14"/>
  <c r="E28" i="14"/>
  <c r="D28" i="14"/>
  <c r="C28" i="14"/>
  <c r="L27" i="14"/>
  <c r="K27" i="14"/>
  <c r="J27" i="14"/>
  <c r="I27" i="14"/>
  <c r="H27" i="14"/>
  <c r="G27" i="14"/>
  <c r="F27" i="14"/>
  <c r="E27" i="14"/>
  <c r="D27" i="14"/>
  <c r="C27" i="14"/>
  <c r="L26" i="14"/>
  <c r="K26" i="14"/>
  <c r="J26" i="14"/>
  <c r="I26" i="14"/>
  <c r="H26" i="14"/>
  <c r="G26" i="14"/>
  <c r="F26" i="14"/>
  <c r="E26" i="14"/>
  <c r="D26" i="14"/>
  <c r="C26" i="14"/>
  <c r="L25" i="14"/>
  <c r="K25" i="14"/>
  <c r="J25" i="14"/>
  <c r="I25" i="14"/>
  <c r="H25" i="14"/>
  <c r="G25" i="14"/>
  <c r="F25" i="14"/>
  <c r="E25" i="14"/>
  <c r="D25" i="14"/>
  <c r="C25" i="14"/>
  <c r="L24" i="14"/>
  <c r="K24" i="14"/>
  <c r="J24" i="14"/>
  <c r="I24" i="14"/>
  <c r="H24" i="14"/>
  <c r="G24" i="14"/>
  <c r="F24" i="14"/>
  <c r="E24" i="14"/>
  <c r="D24" i="14"/>
  <c r="C24" i="14"/>
  <c r="L23" i="14"/>
  <c r="K23" i="14"/>
  <c r="J23" i="14"/>
  <c r="I23" i="14"/>
  <c r="H23" i="14"/>
  <c r="G23" i="14"/>
  <c r="F23" i="14"/>
  <c r="E23" i="14"/>
  <c r="D23" i="14"/>
  <c r="C23" i="14"/>
  <c r="L22" i="14"/>
  <c r="K22" i="14"/>
  <c r="J22" i="14"/>
  <c r="I22" i="14"/>
  <c r="H22" i="14"/>
  <c r="G22" i="14"/>
  <c r="F22" i="14"/>
  <c r="E22" i="14"/>
  <c r="D22" i="14"/>
  <c r="C22" i="14"/>
  <c r="L21" i="14"/>
  <c r="K21" i="14"/>
  <c r="J21" i="14"/>
  <c r="I21" i="14"/>
  <c r="H21" i="14"/>
  <c r="G21" i="14"/>
  <c r="F21" i="14"/>
  <c r="E21" i="14"/>
  <c r="D21" i="14"/>
  <c r="C21" i="14"/>
  <c r="L20" i="14"/>
  <c r="K20" i="14"/>
  <c r="J20" i="14"/>
  <c r="I20" i="14"/>
  <c r="H20" i="14"/>
  <c r="G20" i="14"/>
  <c r="F20" i="14"/>
  <c r="E20" i="14"/>
  <c r="D20" i="14"/>
  <c r="C20" i="14"/>
  <c r="L19" i="14"/>
  <c r="K19" i="14"/>
  <c r="J19" i="14"/>
  <c r="I19" i="14"/>
  <c r="H19" i="14"/>
  <c r="G19" i="14"/>
  <c r="F19" i="14"/>
  <c r="E19" i="14"/>
  <c r="D19" i="14"/>
  <c r="C19" i="14"/>
  <c r="L18" i="14"/>
  <c r="K18" i="14"/>
  <c r="J18" i="14"/>
  <c r="I18" i="14"/>
  <c r="H18" i="14"/>
  <c r="G18" i="14"/>
  <c r="F18" i="14"/>
  <c r="E18" i="14"/>
  <c r="D18" i="14"/>
  <c r="C18" i="14"/>
  <c r="L17" i="14"/>
  <c r="K17" i="14"/>
  <c r="J17" i="14"/>
  <c r="I17" i="14"/>
  <c r="H17" i="14"/>
  <c r="G17" i="14"/>
  <c r="F17" i="14"/>
  <c r="E17" i="14"/>
  <c r="D17" i="14"/>
  <c r="C17" i="14"/>
  <c r="L16" i="14"/>
  <c r="K16" i="14"/>
  <c r="J16" i="14"/>
  <c r="I16" i="14"/>
  <c r="H16" i="14"/>
  <c r="G16" i="14"/>
  <c r="F16" i="14"/>
  <c r="E16" i="14"/>
  <c r="D16" i="14"/>
  <c r="C16" i="14"/>
  <c r="L15" i="14"/>
  <c r="K15" i="14"/>
  <c r="J15" i="14"/>
  <c r="I15" i="14"/>
  <c r="H15" i="14"/>
  <c r="G15" i="14"/>
  <c r="F15" i="14"/>
  <c r="E15" i="14"/>
  <c r="D15" i="14"/>
  <c r="C15" i="14"/>
  <c r="L14" i="14"/>
  <c r="K14" i="14"/>
  <c r="J14" i="14"/>
  <c r="I14" i="14"/>
  <c r="H14" i="14"/>
  <c r="G14" i="14"/>
  <c r="F14" i="14"/>
  <c r="E14" i="14"/>
  <c r="D14" i="14"/>
  <c r="C14" i="14"/>
  <c r="L13" i="14"/>
  <c r="K13" i="14"/>
  <c r="J13" i="14"/>
  <c r="I13" i="14"/>
  <c r="H13" i="14"/>
  <c r="G13" i="14"/>
  <c r="F13" i="14"/>
  <c r="E13" i="14"/>
  <c r="D13" i="14"/>
  <c r="C13" i="14"/>
  <c r="L12" i="14"/>
  <c r="K12" i="14"/>
  <c r="J12" i="14"/>
  <c r="I12" i="14"/>
  <c r="H12" i="14"/>
  <c r="G12" i="14"/>
  <c r="F12" i="14"/>
  <c r="E12" i="14"/>
  <c r="D12" i="14"/>
  <c r="C12" i="14"/>
  <c r="L11" i="14"/>
  <c r="K11" i="14"/>
  <c r="J11" i="14"/>
  <c r="I11" i="14"/>
  <c r="H11" i="14"/>
  <c r="G11" i="14"/>
  <c r="F11" i="14"/>
  <c r="E11" i="14"/>
  <c r="D11" i="14"/>
  <c r="C11" i="14"/>
  <c r="L10" i="14"/>
  <c r="K10" i="14"/>
  <c r="J10" i="14"/>
  <c r="I10" i="14"/>
  <c r="H10" i="14"/>
  <c r="G10" i="14"/>
  <c r="F10" i="14"/>
  <c r="E10" i="14"/>
  <c r="D10" i="14"/>
  <c r="C10" i="14"/>
  <c r="L9" i="14"/>
  <c r="K9" i="14"/>
  <c r="J9" i="14"/>
  <c r="I9" i="14"/>
  <c r="H9" i="14"/>
  <c r="G9" i="14"/>
  <c r="F9" i="14"/>
  <c r="E9" i="14"/>
  <c r="D9" i="14"/>
  <c r="C9" i="14"/>
  <c r="L8" i="14"/>
  <c r="K8" i="14"/>
  <c r="J8" i="14"/>
  <c r="I8" i="14"/>
  <c r="H8" i="14"/>
  <c r="G8" i="14"/>
  <c r="F8" i="14"/>
  <c r="E8" i="14"/>
  <c r="D8" i="14"/>
  <c r="C8" i="14"/>
  <c r="L7" i="14"/>
  <c r="K7" i="14"/>
  <c r="J7" i="14"/>
  <c r="I7" i="14"/>
  <c r="H7" i="14"/>
  <c r="G7" i="14"/>
  <c r="F7" i="14"/>
  <c r="E7" i="14"/>
  <c r="D7" i="14"/>
  <c r="C7" i="14"/>
  <c r="L6" i="14"/>
  <c r="K6" i="14"/>
  <c r="J6" i="14"/>
  <c r="I6" i="14"/>
  <c r="H6" i="14"/>
  <c r="G6" i="14"/>
  <c r="F6" i="14"/>
  <c r="E6" i="14"/>
  <c r="D6" i="14"/>
  <c r="C6" i="14"/>
  <c r="L5" i="14"/>
  <c r="K5" i="14"/>
  <c r="J5" i="14"/>
  <c r="I5" i="14"/>
  <c r="H5" i="14"/>
  <c r="G5" i="14"/>
  <c r="F5" i="14"/>
  <c r="E5" i="14"/>
  <c r="D5" i="14"/>
  <c r="C5" i="14"/>
  <c r="L4" i="14"/>
  <c r="K4" i="14"/>
  <c r="J4" i="14"/>
  <c r="I4" i="14"/>
  <c r="H4" i="14"/>
  <c r="G4" i="14"/>
  <c r="F4" i="14"/>
  <c r="E4" i="14"/>
  <c r="D4" i="14"/>
  <c r="C4" i="14"/>
  <c r="L3" i="14"/>
  <c r="K3" i="14"/>
  <c r="J3" i="14"/>
  <c r="I3" i="14"/>
  <c r="H3" i="14"/>
  <c r="G3" i="14"/>
  <c r="F3" i="14"/>
  <c r="E3" i="14"/>
  <c r="D3" i="14"/>
  <c r="C3" i="14"/>
  <c r="S42" i="13"/>
  <c r="R42" i="13"/>
  <c r="J42" i="13"/>
  <c r="D42" i="13"/>
  <c r="C42" i="13"/>
  <c r="S41" i="13"/>
  <c r="R41" i="13"/>
  <c r="J41" i="13"/>
  <c r="D41" i="13"/>
  <c r="C41" i="13"/>
  <c r="S40" i="13"/>
  <c r="R40" i="13"/>
  <c r="J40" i="13"/>
  <c r="D40" i="13"/>
  <c r="C40" i="13"/>
  <c r="S39" i="13"/>
  <c r="R39" i="13"/>
  <c r="J39" i="13"/>
  <c r="D39" i="13"/>
  <c r="C39" i="13"/>
  <c r="S38" i="13"/>
  <c r="R38" i="13"/>
  <c r="J38" i="13"/>
  <c r="D38" i="13"/>
  <c r="C38" i="13"/>
  <c r="S37" i="13"/>
  <c r="R37" i="13"/>
  <c r="J37" i="13"/>
  <c r="D37" i="13"/>
  <c r="C37" i="13"/>
  <c r="S36" i="13"/>
  <c r="R36" i="13"/>
  <c r="J36" i="13"/>
  <c r="D36" i="13"/>
  <c r="C36" i="13"/>
  <c r="S35" i="13"/>
  <c r="R35" i="13"/>
  <c r="J35" i="13"/>
  <c r="D35" i="13"/>
  <c r="C35" i="13"/>
  <c r="S34" i="13"/>
  <c r="R34" i="13"/>
  <c r="J34" i="13"/>
  <c r="D34" i="13"/>
  <c r="C34" i="13"/>
  <c r="S33" i="13"/>
  <c r="R33" i="13"/>
  <c r="J33" i="13"/>
  <c r="D33" i="13"/>
  <c r="C33" i="13"/>
  <c r="S32" i="13"/>
  <c r="R32" i="13"/>
  <c r="J32" i="13"/>
  <c r="D32" i="13"/>
  <c r="C32" i="13"/>
  <c r="S31" i="13"/>
  <c r="R31" i="13"/>
  <c r="J31" i="13"/>
  <c r="D31" i="13"/>
  <c r="C31" i="13"/>
  <c r="S30" i="13"/>
  <c r="R30" i="13"/>
  <c r="J30" i="13"/>
  <c r="D30" i="13"/>
  <c r="C30" i="13"/>
  <c r="S29" i="13"/>
  <c r="R29" i="13"/>
  <c r="J29" i="13"/>
  <c r="D29" i="13"/>
  <c r="C29" i="13"/>
  <c r="S28" i="13"/>
  <c r="R28" i="13"/>
  <c r="J28" i="13"/>
  <c r="D28" i="13"/>
  <c r="C28" i="13"/>
  <c r="S27" i="13"/>
  <c r="R27" i="13"/>
  <c r="J27" i="13"/>
  <c r="D27" i="13"/>
  <c r="C27" i="13"/>
  <c r="S26" i="13"/>
  <c r="R26" i="13"/>
  <c r="J26" i="13"/>
  <c r="D26" i="13"/>
  <c r="C26" i="13"/>
  <c r="S25" i="13"/>
  <c r="R25" i="13"/>
  <c r="J25" i="13"/>
  <c r="D25" i="13"/>
  <c r="C25" i="13"/>
  <c r="S24" i="13"/>
  <c r="R24" i="13"/>
  <c r="J24" i="13"/>
  <c r="D24" i="13"/>
  <c r="C24" i="13"/>
  <c r="S23" i="13"/>
  <c r="R23" i="13"/>
  <c r="J23" i="13"/>
  <c r="D23" i="13"/>
  <c r="C23" i="13"/>
  <c r="S22" i="13"/>
  <c r="R22" i="13"/>
  <c r="J22" i="13"/>
  <c r="D22" i="13"/>
  <c r="C22" i="13"/>
  <c r="S21" i="13"/>
  <c r="R21" i="13"/>
  <c r="J21" i="13"/>
  <c r="D21" i="13"/>
  <c r="C21" i="13"/>
  <c r="S20" i="13"/>
  <c r="R20" i="13"/>
  <c r="J20" i="13"/>
  <c r="D20" i="13"/>
  <c r="C20" i="13"/>
  <c r="S19" i="13"/>
  <c r="R19" i="13"/>
  <c r="J19" i="13"/>
  <c r="D19" i="13"/>
  <c r="C19" i="13"/>
  <c r="S18" i="13"/>
  <c r="R18" i="13"/>
  <c r="J18" i="13"/>
  <c r="D18" i="13"/>
  <c r="C18" i="13"/>
  <c r="S17" i="13"/>
  <c r="R17" i="13"/>
  <c r="J17" i="13"/>
  <c r="D17" i="13"/>
  <c r="C17" i="13"/>
  <c r="S16" i="13"/>
  <c r="R16" i="13"/>
  <c r="J16" i="13"/>
  <c r="D16" i="13"/>
  <c r="C16" i="13"/>
  <c r="S15" i="13"/>
  <c r="R15" i="13"/>
  <c r="J15" i="13"/>
  <c r="D15" i="13"/>
  <c r="C15" i="13"/>
  <c r="S14" i="13"/>
  <c r="R14" i="13"/>
  <c r="J14" i="13"/>
  <c r="D14" i="13"/>
  <c r="C14" i="13"/>
  <c r="S13" i="13"/>
  <c r="R13" i="13"/>
  <c r="J13" i="13"/>
  <c r="D13" i="13"/>
  <c r="C13" i="13"/>
  <c r="S12" i="13"/>
  <c r="R12" i="13"/>
  <c r="J12" i="13"/>
  <c r="D12" i="13"/>
  <c r="C12" i="13"/>
  <c r="S11" i="13"/>
  <c r="R11" i="13"/>
  <c r="J11" i="13"/>
  <c r="D11" i="13"/>
  <c r="C11" i="13"/>
  <c r="S10" i="13"/>
  <c r="R10" i="13"/>
  <c r="J10" i="13"/>
  <c r="D10" i="13"/>
  <c r="C10" i="13"/>
  <c r="S9" i="13"/>
  <c r="R9" i="13"/>
  <c r="J9" i="13"/>
  <c r="D9" i="13"/>
  <c r="C9" i="13"/>
  <c r="S8" i="13"/>
  <c r="R8" i="13"/>
  <c r="J8" i="13"/>
  <c r="D8" i="13"/>
  <c r="C8" i="13"/>
  <c r="S7" i="13"/>
  <c r="R7" i="13"/>
  <c r="J7" i="13"/>
  <c r="D7" i="13"/>
  <c r="C7" i="13"/>
  <c r="S6" i="13"/>
  <c r="R6" i="13"/>
  <c r="J6" i="13"/>
  <c r="D6" i="13"/>
  <c r="C6" i="13"/>
  <c r="C45" i="13" s="1"/>
  <c r="S5" i="13"/>
  <c r="R5" i="13"/>
  <c r="J5" i="13"/>
  <c r="D5" i="13"/>
  <c r="C5" i="13"/>
  <c r="S4" i="13"/>
  <c r="R4" i="13"/>
  <c r="J4" i="13"/>
  <c r="D4" i="13"/>
  <c r="C4" i="13"/>
  <c r="S3" i="13"/>
  <c r="R3" i="13"/>
  <c r="J3" i="13"/>
  <c r="D3" i="13"/>
  <c r="C3" i="13"/>
  <c r="AF42" i="12"/>
  <c r="AE42" i="12"/>
  <c r="AG42" i="12" s="1"/>
  <c r="AD42" i="12"/>
  <c r="AA42" i="12"/>
  <c r="Z42" i="12"/>
  <c r="AB42" i="12" s="1"/>
  <c r="Y42" i="12"/>
  <c r="X42" i="12"/>
  <c r="U42" i="12"/>
  <c r="T42" i="12"/>
  <c r="O42" i="12"/>
  <c r="N42" i="12"/>
  <c r="M42" i="12"/>
  <c r="L42" i="12"/>
  <c r="I42" i="12"/>
  <c r="H42" i="12"/>
  <c r="J42" i="12" s="1"/>
  <c r="G42" i="12"/>
  <c r="F42" i="12"/>
  <c r="E42" i="12"/>
  <c r="D42" i="12"/>
  <c r="C42" i="12"/>
  <c r="K42" i="12" s="1"/>
  <c r="AH41" i="12"/>
  <c r="AG41" i="12"/>
  <c r="AF41" i="12"/>
  <c r="AE41" i="12"/>
  <c r="AD41" i="12"/>
  <c r="AC41" i="12"/>
  <c r="AA41" i="12"/>
  <c r="AB41" i="12" s="1"/>
  <c r="Z41" i="12"/>
  <c r="Y41" i="12"/>
  <c r="X41" i="12"/>
  <c r="U41" i="12"/>
  <c r="T41" i="12"/>
  <c r="O41" i="12"/>
  <c r="N41" i="12"/>
  <c r="M41" i="12"/>
  <c r="L41" i="12"/>
  <c r="I41" i="12"/>
  <c r="H41" i="12"/>
  <c r="G41" i="12"/>
  <c r="F41" i="12"/>
  <c r="K41" i="12" s="1"/>
  <c r="E41" i="12"/>
  <c r="D41" i="12"/>
  <c r="C41" i="12"/>
  <c r="AH40" i="12"/>
  <c r="AF40" i="12"/>
  <c r="AE40" i="12"/>
  <c r="AG40" i="12" s="1"/>
  <c r="AD40" i="12"/>
  <c r="AA40" i="12"/>
  <c r="Z40" i="12"/>
  <c r="Y40" i="12"/>
  <c r="X40" i="12"/>
  <c r="U40" i="12"/>
  <c r="T40" i="12"/>
  <c r="Q40" i="12"/>
  <c r="P40" i="12"/>
  <c r="O40" i="12"/>
  <c r="N40" i="12"/>
  <c r="M40" i="12"/>
  <c r="L40" i="12"/>
  <c r="J40" i="12"/>
  <c r="I40" i="12"/>
  <c r="H40" i="12"/>
  <c r="G40" i="12"/>
  <c r="F40" i="12"/>
  <c r="E40" i="12"/>
  <c r="D40" i="12"/>
  <c r="C40" i="12"/>
  <c r="AF39" i="12"/>
  <c r="AE39" i="12"/>
  <c r="AD39" i="12"/>
  <c r="AA39" i="12"/>
  <c r="Z39" i="12"/>
  <c r="Y39" i="12"/>
  <c r="X39" i="12"/>
  <c r="U39" i="12"/>
  <c r="T39" i="12"/>
  <c r="O39" i="12"/>
  <c r="N39" i="12"/>
  <c r="M39" i="12"/>
  <c r="L39" i="12"/>
  <c r="I39" i="12"/>
  <c r="H39" i="12"/>
  <c r="G39" i="12"/>
  <c r="F39" i="12"/>
  <c r="E39" i="12"/>
  <c r="D39" i="12"/>
  <c r="C39" i="12"/>
  <c r="AF38" i="12"/>
  <c r="AE38" i="12"/>
  <c r="AH38" i="12" s="1"/>
  <c r="AD38" i="12"/>
  <c r="AC38" i="12"/>
  <c r="AB38" i="12"/>
  <c r="AA38" i="12"/>
  <c r="Z38" i="12"/>
  <c r="Y38" i="12"/>
  <c r="X38" i="12"/>
  <c r="U38" i="12"/>
  <c r="T38" i="12"/>
  <c r="O38" i="12"/>
  <c r="N38" i="12"/>
  <c r="M38" i="12"/>
  <c r="L38" i="12"/>
  <c r="I38" i="12"/>
  <c r="H38" i="12"/>
  <c r="G38" i="12"/>
  <c r="F38" i="12"/>
  <c r="E38" i="12"/>
  <c r="K38" i="12" s="1"/>
  <c r="D38" i="12"/>
  <c r="C38" i="12"/>
  <c r="AF37" i="12"/>
  <c r="AE37" i="12"/>
  <c r="AG37" i="12" s="1"/>
  <c r="AD37" i="12"/>
  <c r="AA37" i="12"/>
  <c r="Z37" i="12"/>
  <c r="Y37" i="12"/>
  <c r="X37" i="12"/>
  <c r="U37" i="12"/>
  <c r="T37" i="12"/>
  <c r="O37" i="12"/>
  <c r="Q37" i="12" s="1"/>
  <c r="N37" i="12"/>
  <c r="M37" i="12"/>
  <c r="L37" i="12"/>
  <c r="I37" i="12"/>
  <c r="H37" i="12"/>
  <c r="G37" i="12"/>
  <c r="K37" i="12" s="1"/>
  <c r="F37" i="12"/>
  <c r="E37" i="12"/>
  <c r="D37" i="12"/>
  <c r="C37" i="12"/>
  <c r="AF36" i="12"/>
  <c r="AE36" i="12"/>
  <c r="AD36" i="12"/>
  <c r="AC36" i="12"/>
  <c r="AA36" i="12"/>
  <c r="Z36" i="12"/>
  <c r="Y36" i="12"/>
  <c r="X36" i="12"/>
  <c r="U36" i="12"/>
  <c r="T36" i="12"/>
  <c r="O36" i="12"/>
  <c r="N36" i="12"/>
  <c r="M36" i="12"/>
  <c r="L36" i="12"/>
  <c r="K36" i="12"/>
  <c r="J36" i="12"/>
  <c r="I36" i="12"/>
  <c r="H36" i="12"/>
  <c r="G36" i="12"/>
  <c r="F36" i="12"/>
  <c r="E36" i="12"/>
  <c r="D36" i="12"/>
  <c r="C36" i="12"/>
  <c r="AH35" i="12"/>
  <c r="AG35" i="12"/>
  <c r="AF35" i="12"/>
  <c r="AE35" i="12"/>
  <c r="AD35" i="12"/>
  <c r="AC35" i="12"/>
  <c r="AB35" i="12"/>
  <c r="AA35" i="12"/>
  <c r="Z35" i="12"/>
  <c r="Y35" i="12"/>
  <c r="X35" i="12"/>
  <c r="U35" i="12"/>
  <c r="T35" i="12"/>
  <c r="O35" i="12"/>
  <c r="N35" i="12"/>
  <c r="M35" i="12"/>
  <c r="L35" i="12"/>
  <c r="I35" i="12"/>
  <c r="H35" i="12"/>
  <c r="G35" i="12"/>
  <c r="F35" i="12"/>
  <c r="E35" i="12"/>
  <c r="D35" i="12"/>
  <c r="C35" i="12"/>
  <c r="K35" i="12" s="1"/>
  <c r="AH34" i="12"/>
  <c r="AG34" i="12"/>
  <c r="AF34" i="12"/>
  <c r="AE34" i="12"/>
  <c r="AD34" i="12"/>
  <c r="AC34" i="12"/>
  <c r="AA34" i="12"/>
  <c r="Z34" i="12"/>
  <c r="AB34" i="12" s="1"/>
  <c r="Y34" i="12"/>
  <c r="X34" i="12"/>
  <c r="U34" i="12"/>
  <c r="T34" i="12"/>
  <c r="Q34" i="12"/>
  <c r="P34" i="12"/>
  <c r="O34" i="12"/>
  <c r="N34" i="12"/>
  <c r="M34" i="12"/>
  <c r="L34" i="12"/>
  <c r="I34" i="12"/>
  <c r="H34" i="12"/>
  <c r="G34" i="12"/>
  <c r="F34" i="12"/>
  <c r="E34" i="12"/>
  <c r="D34" i="12"/>
  <c r="C34" i="12"/>
  <c r="K34" i="12" s="1"/>
  <c r="AF33" i="12"/>
  <c r="AH33" i="12" s="1"/>
  <c r="AE33" i="12"/>
  <c r="AG33" i="12" s="1"/>
  <c r="AD33" i="12"/>
  <c r="AC33" i="12"/>
  <c r="AA33" i="12"/>
  <c r="Z33" i="12"/>
  <c r="AB33" i="12" s="1"/>
  <c r="Y33" i="12"/>
  <c r="X33" i="12"/>
  <c r="U33" i="12"/>
  <c r="T33" i="12"/>
  <c r="O33" i="12"/>
  <c r="N33" i="12"/>
  <c r="M33" i="12"/>
  <c r="L33" i="12"/>
  <c r="I33" i="12"/>
  <c r="H33" i="12"/>
  <c r="G33" i="12"/>
  <c r="F33" i="12"/>
  <c r="E33" i="12"/>
  <c r="D33" i="12"/>
  <c r="C33" i="12"/>
  <c r="AH32" i="12"/>
  <c r="AF32" i="12"/>
  <c r="AE32" i="12"/>
  <c r="AD32" i="12"/>
  <c r="AG32" i="12" s="1"/>
  <c r="AC32" i="12"/>
  <c r="AA32" i="12"/>
  <c r="AB32" i="12" s="1"/>
  <c r="Z32" i="12"/>
  <c r="Y32" i="12"/>
  <c r="X32" i="12"/>
  <c r="U32" i="12"/>
  <c r="T32" i="12"/>
  <c r="Q32" i="12"/>
  <c r="O32" i="12"/>
  <c r="N32" i="12"/>
  <c r="M32" i="12"/>
  <c r="L32" i="12"/>
  <c r="I32" i="12"/>
  <c r="H32" i="12"/>
  <c r="G32" i="12"/>
  <c r="F32" i="12"/>
  <c r="E32" i="12"/>
  <c r="D32" i="12"/>
  <c r="C32" i="12"/>
  <c r="AF31" i="12"/>
  <c r="AE31" i="12"/>
  <c r="AD31" i="12"/>
  <c r="AA31" i="12"/>
  <c r="Z31" i="12"/>
  <c r="Y31" i="12"/>
  <c r="X31" i="12"/>
  <c r="U31" i="12"/>
  <c r="T31" i="12"/>
  <c r="Q31" i="12"/>
  <c r="P31" i="12"/>
  <c r="O31" i="12"/>
  <c r="N31" i="12"/>
  <c r="M31" i="12"/>
  <c r="L31" i="12"/>
  <c r="I31" i="12"/>
  <c r="H31" i="12"/>
  <c r="G31" i="12"/>
  <c r="F31" i="12"/>
  <c r="E31" i="12"/>
  <c r="D31" i="12"/>
  <c r="C31" i="12"/>
  <c r="K31" i="12" s="1"/>
  <c r="AF30" i="12"/>
  <c r="AH30" i="12" s="1"/>
  <c r="AE30" i="12"/>
  <c r="AG30" i="12" s="1"/>
  <c r="AD30" i="12"/>
  <c r="AA30" i="12"/>
  <c r="Z30" i="12"/>
  <c r="AB30" i="12" s="1"/>
  <c r="Y30" i="12"/>
  <c r="X30" i="12"/>
  <c r="U30" i="12"/>
  <c r="T30" i="12"/>
  <c r="O30" i="12"/>
  <c r="N30" i="12"/>
  <c r="M30" i="12"/>
  <c r="L30" i="12"/>
  <c r="I30" i="12"/>
  <c r="H30" i="12"/>
  <c r="G30" i="12"/>
  <c r="F30" i="12"/>
  <c r="E30" i="12"/>
  <c r="D30" i="12"/>
  <c r="C30" i="12"/>
  <c r="AH29" i="12"/>
  <c r="AG29" i="12"/>
  <c r="AF29" i="12"/>
  <c r="AE29" i="12"/>
  <c r="AD29" i="12"/>
  <c r="AC29" i="12"/>
  <c r="AA29" i="12"/>
  <c r="AB29" i="12" s="1"/>
  <c r="Z29" i="12"/>
  <c r="Y29" i="12"/>
  <c r="X29" i="12"/>
  <c r="U29" i="12"/>
  <c r="T29" i="12"/>
  <c r="Q29" i="12"/>
  <c r="O29" i="12"/>
  <c r="N29" i="12"/>
  <c r="M29" i="12"/>
  <c r="L29" i="12"/>
  <c r="I29" i="12"/>
  <c r="H29" i="12"/>
  <c r="G29" i="12"/>
  <c r="F29" i="12"/>
  <c r="E29" i="12"/>
  <c r="D29" i="12"/>
  <c r="C29" i="12"/>
  <c r="AF28" i="12"/>
  <c r="AE28" i="12"/>
  <c r="AH28" i="12" s="1"/>
  <c r="AD28" i="12"/>
  <c r="AA28" i="12"/>
  <c r="Z28" i="12"/>
  <c r="Y28" i="12"/>
  <c r="X28" i="12"/>
  <c r="U28" i="12"/>
  <c r="T28" i="12"/>
  <c r="Q28" i="12"/>
  <c r="P28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C28" i="12"/>
  <c r="AF27" i="12"/>
  <c r="AE27" i="12"/>
  <c r="AD27" i="12"/>
  <c r="AC27" i="12"/>
  <c r="AA27" i="12"/>
  <c r="Z27" i="12"/>
  <c r="Y27" i="12"/>
  <c r="X27" i="12"/>
  <c r="U27" i="12"/>
  <c r="T27" i="12"/>
  <c r="O27" i="12"/>
  <c r="N27" i="12"/>
  <c r="M27" i="12"/>
  <c r="L27" i="12"/>
  <c r="I27" i="12"/>
  <c r="H27" i="12"/>
  <c r="G27" i="12"/>
  <c r="F27" i="12"/>
  <c r="E27" i="12"/>
  <c r="D27" i="12"/>
  <c r="C27" i="12"/>
  <c r="AF26" i="12"/>
  <c r="AE26" i="12"/>
  <c r="AH26" i="12" s="1"/>
  <c r="AD26" i="12"/>
  <c r="AC26" i="12"/>
  <c r="AB26" i="12"/>
  <c r="AA26" i="12"/>
  <c r="Z26" i="12"/>
  <c r="Y26" i="12"/>
  <c r="X26" i="12"/>
  <c r="U26" i="12"/>
  <c r="T26" i="12"/>
  <c r="O26" i="12"/>
  <c r="N26" i="12"/>
  <c r="M26" i="12"/>
  <c r="L26" i="12"/>
  <c r="I26" i="12"/>
  <c r="H26" i="12"/>
  <c r="G26" i="12"/>
  <c r="F26" i="12"/>
  <c r="K26" i="12" s="1"/>
  <c r="E26" i="12"/>
  <c r="D26" i="12"/>
  <c r="C26" i="12"/>
  <c r="AF25" i="12"/>
  <c r="AE25" i="12"/>
  <c r="AG25" i="12" s="1"/>
  <c r="AD25" i="12"/>
  <c r="AC25" i="12"/>
  <c r="AA25" i="12"/>
  <c r="Z25" i="12"/>
  <c r="Y25" i="12"/>
  <c r="X25" i="12"/>
  <c r="U25" i="12"/>
  <c r="T25" i="12"/>
  <c r="Q25" i="12"/>
  <c r="P25" i="12"/>
  <c r="O25" i="12"/>
  <c r="N25" i="12"/>
  <c r="M25" i="12"/>
  <c r="L25" i="12"/>
  <c r="K25" i="12"/>
  <c r="J25" i="12"/>
  <c r="I25" i="12"/>
  <c r="H25" i="12"/>
  <c r="G25" i="12"/>
  <c r="F25" i="12"/>
  <c r="E25" i="12"/>
  <c r="D25" i="12"/>
  <c r="C25" i="12"/>
  <c r="AG24" i="12"/>
  <c r="AF24" i="12"/>
  <c r="AH24" i="12" s="1"/>
  <c r="AE24" i="12"/>
  <c r="AD24" i="12"/>
  <c r="AC24" i="12"/>
  <c r="AA24" i="12"/>
  <c r="Z24" i="12"/>
  <c r="Y24" i="12"/>
  <c r="X24" i="12"/>
  <c r="U24" i="12"/>
  <c r="T24" i="12"/>
  <c r="O24" i="12"/>
  <c r="N24" i="12"/>
  <c r="M24" i="12"/>
  <c r="L24" i="12"/>
  <c r="J24" i="12"/>
  <c r="I24" i="12"/>
  <c r="H24" i="12"/>
  <c r="G24" i="12"/>
  <c r="F24" i="12"/>
  <c r="E24" i="12"/>
  <c r="D24" i="12"/>
  <c r="C24" i="12"/>
  <c r="K24" i="12" s="1"/>
  <c r="AH23" i="12"/>
  <c r="AF23" i="12"/>
  <c r="AE23" i="12"/>
  <c r="AD23" i="12"/>
  <c r="AG23" i="12" s="1"/>
  <c r="AC23" i="12"/>
  <c r="AB23" i="12"/>
  <c r="AA23" i="12"/>
  <c r="Z23" i="12"/>
  <c r="Y23" i="12"/>
  <c r="X23" i="12"/>
  <c r="U23" i="12"/>
  <c r="T23" i="12"/>
  <c r="Q23" i="12"/>
  <c r="O23" i="12"/>
  <c r="N23" i="12"/>
  <c r="M23" i="12"/>
  <c r="L23" i="12"/>
  <c r="I23" i="12"/>
  <c r="H23" i="12"/>
  <c r="G23" i="12"/>
  <c r="F23" i="12"/>
  <c r="E23" i="12"/>
  <c r="D23" i="12"/>
  <c r="C23" i="12"/>
  <c r="AF22" i="12"/>
  <c r="AE22" i="12"/>
  <c r="AD22" i="12"/>
  <c r="AA22" i="12"/>
  <c r="Z22" i="12"/>
  <c r="Y22" i="12"/>
  <c r="X22" i="12"/>
  <c r="U22" i="12"/>
  <c r="T22" i="12"/>
  <c r="O22" i="12"/>
  <c r="N22" i="12"/>
  <c r="M22" i="12"/>
  <c r="L22" i="12"/>
  <c r="I22" i="12"/>
  <c r="H22" i="12"/>
  <c r="G22" i="12"/>
  <c r="F22" i="12"/>
  <c r="E22" i="12"/>
  <c r="D22" i="12"/>
  <c r="C22" i="12"/>
  <c r="K22" i="12" s="1"/>
  <c r="AG21" i="12"/>
  <c r="AF21" i="12"/>
  <c r="AH21" i="12" s="1"/>
  <c r="AE21" i="12"/>
  <c r="AD21" i="12"/>
  <c r="AA21" i="12"/>
  <c r="Z21" i="12"/>
  <c r="AB21" i="12" s="1"/>
  <c r="Y21" i="12"/>
  <c r="X21" i="12"/>
  <c r="U21" i="12"/>
  <c r="T21" i="12"/>
  <c r="Q21" i="12"/>
  <c r="O21" i="12"/>
  <c r="P21" i="12" s="1"/>
  <c r="N21" i="12"/>
  <c r="M21" i="12"/>
  <c r="L21" i="12"/>
  <c r="I21" i="12"/>
  <c r="K21" i="12" s="1"/>
  <c r="H21" i="12"/>
  <c r="G21" i="12"/>
  <c r="F21" i="12"/>
  <c r="E21" i="12"/>
  <c r="D21" i="12"/>
  <c r="C21" i="12"/>
  <c r="AF20" i="12"/>
  <c r="AE20" i="12"/>
  <c r="AD20" i="12"/>
  <c r="AC20" i="12"/>
  <c r="AB20" i="12"/>
  <c r="AA20" i="12"/>
  <c r="Z20" i="12"/>
  <c r="Y20" i="12"/>
  <c r="X20" i="12"/>
  <c r="U20" i="12"/>
  <c r="T20" i="12"/>
  <c r="O20" i="12"/>
  <c r="N20" i="12"/>
  <c r="M20" i="12"/>
  <c r="L20" i="12"/>
  <c r="I20" i="12"/>
  <c r="H20" i="12"/>
  <c r="G20" i="12"/>
  <c r="F20" i="12"/>
  <c r="K20" i="12" s="1"/>
  <c r="E20" i="12"/>
  <c r="D20" i="12"/>
  <c r="C20" i="12"/>
  <c r="AG19" i="12"/>
  <c r="AF19" i="12"/>
  <c r="AH19" i="12" s="1"/>
  <c r="AE19" i="12"/>
  <c r="AD19" i="12"/>
  <c r="AC19" i="12"/>
  <c r="AA19" i="12"/>
  <c r="Z19" i="12"/>
  <c r="Y19" i="12"/>
  <c r="X19" i="12"/>
  <c r="U19" i="12"/>
  <c r="T19" i="12"/>
  <c r="O19" i="12"/>
  <c r="N19" i="12"/>
  <c r="M19" i="12"/>
  <c r="L19" i="12"/>
  <c r="I19" i="12"/>
  <c r="H19" i="12"/>
  <c r="G19" i="12"/>
  <c r="F19" i="12"/>
  <c r="E19" i="12"/>
  <c r="D19" i="12"/>
  <c r="C19" i="12"/>
  <c r="K19" i="12" s="1"/>
  <c r="AG18" i="12"/>
  <c r="AF18" i="12"/>
  <c r="AH18" i="12" s="1"/>
  <c r="AE18" i="12"/>
  <c r="AD18" i="12"/>
  <c r="AC18" i="12"/>
  <c r="AA18" i="12"/>
  <c r="Z18" i="12"/>
  <c r="Y18" i="12"/>
  <c r="X18" i="12"/>
  <c r="U18" i="12"/>
  <c r="T18" i="12"/>
  <c r="Q18" i="12"/>
  <c r="O18" i="12"/>
  <c r="N18" i="12"/>
  <c r="M18" i="12"/>
  <c r="L18" i="12"/>
  <c r="J18" i="12"/>
  <c r="I18" i="12"/>
  <c r="H18" i="12"/>
  <c r="G18" i="12"/>
  <c r="F18" i="12"/>
  <c r="E18" i="12"/>
  <c r="D18" i="12"/>
  <c r="C18" i="12"/>
  <c r="K18" i="12" s="1"/>
  <c r="AH17" i="12"/>
  <c r="AF17" i="12"/>
  <c r="AE17" i="12"/>
  <c r="AD17" i="12"/>
  <c r="AG17" i="12" s="1"/>
  <c r="AC17" i="12"/>
  <c r="AB17" i="12"/>
  <c r="AA17" i="12"/>
  <c r="Z17" i="12"/>
  <c r="Y17" i="12"/>
  <c r="X17" i="12"/>
  <c r="U17" i="12"/>
  <c r="T17" i="12"/>
  <c r="Q17" i="12"/>
  <c r="O17" i="12"/>
  <c r="N17" i="12"/>
  <c r="M17" i="12"/>
  <c r="L17" i="12"/>
  <c r="I17" i="12"/>
  <c r="H17" i="12"/>
  <c r="G17" i="12"/>
  <c r="F17" i="12"/>
  <c r="E17" i="12"/>
  <c r="D17" i="12"/>
  <c r="C17" i="12"/>
  <c r="K17" i="12" s="1"/>
  <c r="AF16" i="12"/>
  <c r="AE16" i="12"/>
  <c r="AD16" i="12"/>
  <c r="AA16" i="12"/>
  <c r="Z16" i="12"/>
  <c r="Y16" i="12"/>
  <c r="X16" i="12"/>
  <c r="U16" i="12"/>
  <c r="T16" i="12"/>
  <c r="O16" i="12"/>
  <c r="N16" i="12"/>
  <c r="M16" i="12"/>
  <c r="L16" i="12"/>
  <c r="I16" i="12"/>
  <c r="H16" i="12"/>
  <c r="G16" i="12"/>
  <c r="J16" i="12" s="1"/>
  <c r="F16" i="12"/>
  <c r="E16" i="12"/>
  <c r="D16" i="12"/>
  <c r="C16" i="12"/>
  <c r="AH15" i="12"/>
  <c r="AG15" i="12"/>
  <c r="AF15" i="12"/>
  <c r="AE15" i="12"/>
  <c r="AD15" i="12"/>
  <c r="AC15" i="12"/>
  <c r="AA15" i="12"/>
  <c r="Z15" i="12"/>
  <c r="AB15" i="12" s="1"/>
  <c r="Y15" i="12"/>
  <c r="X15" i="12"/>
  <c r="U15" i="12"/>
  <c r="T15" i="12"/>
  <c r="Q15" i="12"/>
  <c r="O15" i="12"/>
  <c r="P15" i="12" s="1"/>
  <c r="N15" i="12"/>
  <c r="M15" i="12"/>
  <c r="L15" i="12"/>
  <c r="K15" i="12"/>
  <c r="I15" i="12"/>
  <c r="J15" i="12" s="1"/>
  <c r="H15" i="12"/>
  <c r="G15" i="12"/>
  <c r="F15" i="12"/>
  <c r="E15" i="12"/>
  <c r="D15" i="12"/>
  <c r="C15" i="12"/>
  <c r="AF14" i="12"/>
  <c r="AE14" i="12"/>
  <c r="AD14" i="12"/>
  <c r="AC14" i="12"/>
  <c r="AB14" i="12"/>
  <c r="AA14" i="12"/>
  <c r="Z14" i="12"/>
  <c r="Y14" i="12"/>
  <c r="X14" i="12"/>
  <c r="U14" i="12"/>
  <c r="T14" i="12"/>
  <c r="O14" i="12"/>
  <c r="N14" i="12"/>
  <c r="M14" i="12"/>
  <c r="L14" i="12"/>
  <c r="I14" i="12"/>
  <c r="H14" i="12"/>
  <c r="G14" i="12"/>
  <c r="F14" i="12"/>
  <c r="E14" i="12"/>
  <c r="D14" i="12"/>
  <c r="C14" i="12"/>
  <c r="AF13" i="12"/>
  <c r="AE13" i="12"/>
  <c r="AG13" i="12" s="1"/>
  <c r="AD13" i="12"/>
  <c r="AA13" i="12"/>
  <c r="Z13" i="12"/>
  <c r="Y13" i="12"/>
  <c r="X13" i="12"/>
  <c r="U13" i="12"/>
  <c r="T13" i="12"/>
  <c r="O13" i="12"/>
  <c r="Q13" i="12" s="1"/>
  <c r="N13" i="12"/>
  <c r="M13" i="12"/>
  <c r="L13" i="12"/>
  <c r="J13" i="12"/>
  <c r="I13" i="12"/>
  <c r="H13" i="12"/>
  <c r="G13" i="12"/>
  <c r="F13" i="12"/>
  <c r="E13" i="12"/>
  <c r="D13" i="12"/>
  <c r="C13" i="12"/>
  <c r="K13" i="12" s="1"/>
  <c r="AG12" i="12"/>
  <c r="AF12" i="12"/>
  <c r="AH12" i="12" s="1"/>
  <c r="AE12" i="12"/>
  <c r="AD12" i="12"/>
  <c r="AC12" i="12"/>
  <c r="AA12" i="12"/>
  <c r="Z12" i="12"/>
  <c r="Y12" i="12"/>
  <c r="X12" i="12"/>
  <c r="U12" i="12"/>
  <c r="T12" i="12"/>
  <c r="O12" i="12"/>
  <c r="P12" i="12" s="1"/>
  <c r="N12" i="12"/>
  <c r="M12" i="12"/>
  <c r="L12" i="12"/>
  <c r="K12" i="12"/>
  <c r="I12" i="12"/>
  <c r="H12" i="12"/>
  <c r="G12" i="12"/>
  <c r="F12" i="12"/>
  <c r="E12" i="12"/>
  <c r="D12" i="12"/>
  <c r="C12" i="12"/>
  <c r="AF11" i="12"/>
  <c r="AE11" i="12"/>
  <c r="AD11" i="12"/>
  <c r="AC11" i="12"/>
  <c r="AA11" i="12"/>
  <c r="AB11" i="12" s="1"/>
  <c r="Z11" i="12"/>
  <c r="Y11" i="12"/>
  <c r="X11" i="12"/>
  <c r="U11" i="12"/>
  <c r="T11" i="12"/>
  <c r="Q11" i="12"/>
  <c r="O11" i="12"/>
  <c r="N11" i="12"/>
  <c r="M11" i="12"/>
  <c r="L11" i="12"/>
  <c r="I11" i="12"/>
  <c r="H11" i="12"/>
  <c r="G11" i="12"/>
  <c r="F11" i="12"/>
  <c r="E11" i="12"/>
  <c r="D11" i="12"/>
  <c r="C11" i="12"/>
  <c r="AG10" i="12"/>
  <c r="AF10" i="12"/>
  <c r="AH10" i="12" s="1"/>
  <c r="AE10" i="12"/>
  <c r="AD10" i="12"/>
  <c r="AA10" i="12"/>
  <c r="Z10" i="12"/>
  <c r="AB10" i="12" s="1"/>
  <c r="Y10" i="12"/>
  <c r="X10" i="12"/>
  <c r="U10" i="12"/>
  <c r="T10" i="12"/>
  <c r="P10" i="12"/>
  <c r="O10" i="12"/>
  <c r="Q10" i="12" s="1"/>
  <c r="N10" i="12"/>
  <c r="M10" i="12"/>
  <c r="L10" i="12"/>
  <c r="K10" i="12"/>
  <c r="I10" i="12"/>
  <c r="J10" i="12" s="1"/>
  <c r="H10" i="12"/>
  <c r="G10" i="12"/>
  <c r="F10" i="12"/>
  <c r="E10" i="12"/>
  <c r="D10" i="12"/>
  <c r="C10" i="12"/>
  <c r="AH9" i="12"/>
  <c r="AG9" i="12"/>
  <c r="AF9" i="12"/>
  <c r="AE9" i="12"/>
  <c r="AD9" i="12"/>
  <c r="AC9" i="12"/>
  <c r="AA9" i="12"/>
  <c r="Z9" i="12"/>
  <c r="AB9" i="12" s="1"/>
  <c r="Y9" i="12"/>
  <c r="X9" i="12"/>
  <c r="U9" i="12"/>
  <c r="T9" i="12"/>
  <c r="Q9" i="12"/>
  <c r="P9" i="12"/>
  <c r="O9" i="12"/>
  <c r="N9" i="12"/>
  <c r="M9" i="12"/>
  <c r="L9" i="12"/>
  <c r="K9" i="12"/>
  <c r="J9" i="12"/>
  <c r="I9" i="12"/>
  <c r="H9" i="12"/>
  <c r="G9" i="12"/>
  <c r="F9" i="12"/>
  <c r="E9" i="12"/>
  <c r="D9" i="12"/>
  <c r="C9" i="12"/>
  <c r="AH8" i="12"/>
  <c r="AG8" i="12"/>
  <c r="AF8" i="12"/>
  <c r="AE8" i="12"/>
  <c r="AD8" i="12"/>
  <c r="AC8" i="12"/>
  <c r="AA8" i="12"/>
  <c r="AB8" i="12" s="1"/>
  <c r="Z8" i="12"/>
  <c r="Y8" i="12"/>
  <c r="X8" i="12"/>
  <c r="U8" i="12"/>
  <c r="T8" i="12"/>
  <c r="Q8" i="12"/>
  <c r="O8" i="12"/>
  <c r="N8" i="12"/>
  <c r="M8" i="12"/>
  <c r="L8" i="12"/>
  <c r="I8" i="12"/>
  <c r="H8" i="12"/>
  <c r="G8" i="12"/>
  <c r="F8" i="12"/>
  <c r="E8" i="12"/>
  <c r="D8" i="12"/>
  <c r="C8" i="12"/>
  <c r="AH7" i="12"/>
  <c r="AG7" i="12"/>
  <c r="AF7" i="12"/>
  <c r="AE7" i="12"/>
  <c r="AD7" i="12"/>
  <c r="AC7" i="12"/>
  <c r="AA7" i="12"/>
  <c r="Z7" i="12"/>
  <c r="AB7" i="12" s="1"/>
  <c r="Y7" i="12"/>
  <c r="X7" i="12"/>
  <c r="U7" i="12"/>
  <c r="T7" i="12"/>
  <c r="Q7" i="12"/>
  <c r="O7" i="12"/>
  <c r="N7" i="12"/>
  <c r="M7" i="12"/>
  <c r="P7" i="12" s="1"/>
  <c r="L7" i="12"/>
  <c r="I7" i="12"/>
  <c r="H7" i="12"/>
  <c r="G7" i="12"/>
  <c r="F7" i="12"/>
  <c r="E7" i="12"/>
  <c r="D7" i="12"/>
  <c r="C7" i="12"/>
  <c r="K7" i="12" s="1"/>
  <c r="AH6" i="12"/>
  <c r="AG6" i="12"/>
  <c r="AF6" i="12"/>
  <c r="AE6" i="12"/>
  <c r="AD6" i="12"/>
  <c r="AC6" i="12"/>
  <c r="AA6" i="12"/>
  <c r="Z6" i="12"/>
  <c r="AB6" i="12" s="1"/>
  <c r="Y6" i="12"/>
  <c r="X6" i="12"/>
  <c r="U6" i="12"/>
  <c r="T6" i="12"/>
  <c r="Q6" i="12"/>
  <c r="O6" i="12"/>
  <c r="N6" i="12"/>
  <c r="M6" i="12"/>
  <c r="L6" i="12"/>
  <c r="I6" i="12"/>
  <c r="H6" i="12"/>
  <c r="G6" i="12"/>
  <c r="F6" i="12"/>
  <c r="E6" i="12"/>
  <c r="D6" i="12"/>
  <c r="C6" i="12"/>
  <c r="AF5" i="12"/>
  <c r="AE5" i="12"/>
  <c r="AD5" i="12"/>
  <c r="AC5" i="12"/>
  <c r="AB5" i="12"/>
  <c r="AA5" i="12"/>
  <c r="Z5" i="12"/>
  <c r="Y5" i="12"/>
  <c r="X5" i="12"/>
  <c r="U5" i="12"/>
  <c r="T5" i="12"/>
  <c r="Q5" i="12"/>
  <c r="P5" i="12"/>
  <c r="O5" i="12"/>
  <c r="N5" i="12"/>
  <c r="M5" i="12"/>
  <c r="L5" i="12"/>
  <c r="I5" i="12"/>
  <c r="J5" i="12" s="1"/>
  <c r="H5" i="12"/>
  <c r="G5" i="12"/>
  <c r="F5" i="12"/>
  <c r="E5" i="12"/>
  <c r="D5" i="12"/>
  <c r="C5" i="12"/>
  <c r="AH4" i="12"/>
  <c r="AG4" i="12"/>
  <c r="AF4" i="12"/>
  <c r="AE4" i="12"/>
  <c r="AD4" i="12"/>
  <c r="AC4" i="12"/>
  <c r="AA4" i="12"/>
  <c r="Z4" i="12"/>
  <c r="AB4" i="12" s="1"/>
  <c r="Y4" i="12"/>
  <c r="X4" i="12"/>
  <c r="U4" i="12"/>
  <c r="T4" i="12"/>
  <c r="Q4" i="12"/>
  <c r="O4" i="12"/>
  <c r="N4" i="12"/>
  <c r="M4" i="12"/>
  <c r="P4" i="12" s="1"/>
  <c r="L4" i="12"/>
  <c r="I4" i="12"/>
  <c r="J4" i="12" s="1"/>
  <c r="H4" i="12"/>
  <c r="G4" i="12"/>
  <c r="F4" i="12"/>
  <c r="E4" i="12"/>
  <c r="D4" i="12"/>
  <c r="C4" i="12"/>
  <c r="AG3" i="12"/>
  <c r="AF3" i="12"/>
  <c r="AH3" i="12" s="1"/>
  <c r="AE3" i="12"/>
  <c r="AD3" i="12"/>
  <c r="AA3" i="12"/>
  <c r="AB3" i="12" s="1"/>
  <c r="Z3" i="12"/>
  <c r="AC3" i="12" s="1"/>
  <c r="Y3" i="12"/>
  <c r="X3" i="12"/>
  <c r="U3" i="12"/>
  <c r="T3" i="12"/>
  <c r="Q3" i="12"/>
  <c r="O3" i="12"/>
  <c r="N3" i="12"/>
  <c r="M3" i="12"/>
  <c r="L3" i="12"/>
  <c r="K3" i="12"/>
  <c r="J3" i="12"/>
  <c r="I3" i="12"/>
  <c r="H3" i="12"/>
  <c r="G3" i="12"/>
  <c r="F3" i="12"/>
  <c r="E3" i="12"/>
  <c r="D3" i="12"/>
  <c r="C3" i="12"/>
  <c r="C45" i="11"/>
  <c r="R42" i="11"/>
  <c r="Q42" i="11"/>
  <c r="T42" i="13" s="1"/>
  <c r="R41" i="11"/>
  <c r="Q41" i="11"/>
  <c r="T41" i="13" s="1"/>
  <c r="F41" i="11"/>
  <c r="R40" i="11"/>
  <c r="Q40" i="11"/>
  <c r="T40" i="13" s="1"/>
  <c r="R39" i="11"/>
  <c r="Q39" i="11"/>
  <c r="T39" i="13" s="1"/>
  <c r="K39" i="11"/>
  <c r="R38" i="11"/>
  <c r="Q38" i="11"/>
  <c r="T38" i="13" s="1"/>
  <c r="R37" i="11"/>
  <c r="Q37" i="11"/>
  <c r="T37" i="13" s="1"/>
  <c r="R36" i="11"/>
  <c r="Q36" i="11"/>
  <c r="T36" i="13" s="1"/>
  <c r="D36" i="11"/>
  <c r="R35" i="11"/>
  <c r="Q35" i="11"/>
  <c r="T35" i="13" s="1"/>
  <c r="R34" i="11"/>
  <c r="Q34" i="11"/>
  <c r="T34" i="13" s="1"/>
  <c r="I34" i="11"/>
  <c r="R33" i="11"/>
  <c r="Q33" i="11"/>
  <c r="T33" i="13" s="1"/>
  <c r="R32" i="11"/>
  <c r="Q32" i="11"/>
  <c r="T32" i="13" s="1"/>
  <c r="R31" i="11"/>
  <c r="Q31" i="11"/>
  <c r="T31" i="13" s="1"/>
  <c r="G31" i="11"/>
  <c r="R30" i="11"/>
  <c r="Q30" i="11"/>
  <c r="T30" i="13" s="1"/>
  <c r="R29" i="11"/>
  <c r="Q29" i="11"/>
  <c r="T29" i="13" s="1"/>
  <c r="R28" i="11"/>
  <c r="Q28" i="11"/>
  <c r="T28" i="13" s="1"/>
  <c r="R27" i="11"/>
  <c r="Q27" i="11"/>
  <c r="T27" i="13" s="1"/>
  <c r="R26" i="11"/>
  <c r="Q26" i="11"/>
  <c r="T26" i="13" s="1"/>
  <c r="R25" i="11"/>
  <c r="Q25" i="11"/>
  <c r="T25" i="13" s="1"/>
  <c r="J25" i="11"/>
  <c r="R24" i="11"/>
  <c r="Q24" i="11"/>
  <c r="T24" i="13" s="1"/>
  <c r="R23" i="11"/>
  <c r="Q23" i="11"/>
  <c r="T23" i="13" s="1"/>
  <c r="R22" i="11"/>
  <c r="Q22" i="11"/>
  <c r="T22" i="13" s="1"/>
  <c r="R21" i="11"/>
  <c r="Q21" i="11"/>
  <c r="T21" i="13" s="1"/>
  <c r="R20" i="11"/>
  <c r="Q20" i="11"/>
  <c r="T20" i="13" s="1"/>
  <c r="R19" i="11"/>
  <c r="Q19" i="11"/>
  <c r="T19" i="13" s="1"/>
  <c r="R18" i="11"/>
  <c r="Q18" i="11"/>
  <c r="T18" i="13" s="1"/>
  <c r="R17" i="11"/>
  <c r="Q17" i="11"/>
  <c r="T17" i="13" s="1"/>
  <c r="R16" i="11"/>
  <c r="Q16" i="11"/>
  <c r="T16" i="13" s="1"/>
  <c r="I16" i="11"/>
  <c r="R15" i="11"/>
  <c r="Q15" i="11"/>
  <c r="T15" i="13" s="1"/>
  <c r="R14" i="11"/>
  <c r="Q14" i="11"/>
  <c r="T14" i="13" s="1"/>
  <c r="R13" i="11"/>
  <c r="Q13" i="11"/>
  <c r="T13" i="13" s="1"/>
  <c r="R12" i="11"/>
  <c r="Q12" i="11"/>
  <c r="T12" i="13" s="1"/>
  <c r="R11" i="11"/>
  <c r="Q11" i="11"/>
  <c r="T11" i="13" s="1"/>
  <c r="R10" i="11"/>
  <c r="Q10" i="11"/>
  <c r="T10" i="13" s="1"/>
  <c r="R9" i="11"/>
  <c r="Q9" i="11"/>
  <c r="T9" i="13" s="1"/>
  <c r="R8" i="11"/>
  <c r="Q8" i="11"/>
  <c r="T8" i="13" s="1"/>
  <c r="R7" i="11"/>
  <c r="Q7" i="11"/>
  <c r="T7" i="13" s="1"/>
  <c r="R6" i="11"/>
  <c r="Q6" i="11"/>
  <c r="T6" i="13" s="1"/>
  <c r="R5" i="11"/>
  <c r="Q5" i="11"/>
  <c r="T5" i="13" s="1"/>
  <c r="R4" i="11"/>
  <c r="Q4" i="11"/>
  <c r="T4" i="13" s="1"/>
  <c r="R3" i="11"/>
  <c r="Q3" i="11"/>
  <c r="I172" i="9"/>
  <c r="G172" i="9"/>
  <c r="H172" i="9" s="1"/>
  <c r="K172" i="9" s="1"/>
  <c r="D172" i="9"/>
  <c r="C172" i="9"/>
  <c r="B172" i="9"/>
  <c r="F172" i="9" s="1"/>
  <c r="J171" i="9"/>
  <c r="N41" i="11" s="1"/>
  <c r="G171" i="9"/>
  <c r="I171" i="9" s="1"/>
  <c r="J41" i="11" s="1"/>
  <c r="D171" i="9"/>
  <c r="C171" i="9"/>
  <c r="B171" i="9"/>
  <c r="I170" i="9"/>
  <c r="J170" i="9" s="1"/>
  <c r="N40" i="11" s="1"/>
  <c r="H170" i="9"/>
  <c r="G170" i="9"/>
  <c r="D170" i="9"/>
  <c r="C170" i="9"/>
  <c r="B170" i="9"/>
  <c r="H169" i="9"/>
  <c r="G169" i="9"/>
  <c r="I169" i="9" s="1"/>
  <c r="E169" i="9"/>
  <c r="F169" i="9" s="1"/>
  <c r="D169" i="9"/>
  <c r="C169" i="9"/>
  <c r="B169" i="9"/>
  <c r="G168" i="9"/>
  <c r="D168" i="9"/>
  <c r="C168" i="9"/>
  <c r="B168" i="9"/>
  <c r="G167" i="9"/>
  <c r="D167" i="9"/>
  <c r="C167" i="9"/>
  <c r="B167" i="9"/>
  <c r="I166" i="9"/>
  <c r="H166" i="9"/>
  <c r="I36" i="11" s="1"/>
  <c r="G166" i="9"/>
  <c r="D166" i="9"/>
  <c r="C166" i="9"/>
  <c r="B166" i="9"/>
  <c r="K165" i="9"/>
  <c r="I165" i="9"/>
  <c r="H165" i="9"/>
  <c r="I35" i="11" s="1"/>
  <c r="G165" i="9"/>
  <c r="D165" i="9"/>
  <c r="C165" i="9"/>
  <c r="B165" i="9"/>
  <c r="K164" i="9"/>
  <c r="I164" i="9"/>
  <c r="J34" i="11" s="1"/>
  <c r="H164" i="9"/>
  <c r="G164" i="9"/>
  <c r="D164" i="9"/>
  <c r="C164" i="9"/>
  <c r="B164" i="9"/>
  <c r="H163" i="9"/>
  <c r="G163" i="9"/>
  <c r="I163" i="9" s="1"/>
  <c r="D163" i="9"/>
  <c r="C163" i="9"/>
  <c r="B163" i="9"/>
  <c r="G162" i="9"/>
  <c r="D162" i="9"/>
  <c r="C162" i="9"/>
  <c r="B162" i="9"/>
  <c r="J161" i="9"/>
  <c r="N31" i="11" s="1"/>
  <c r="I161" i="9"/>
  <c r="J31" i="11" s="1"/>
  <c r="G161" i="9"/>
  <c r="H161" i="9" s="1"/>
  <c r="D161" i="9"/>
  <c r="C161" i="9"/>
  <c r="B161" i="9"/>
  <c r="G160" i="9"/>
  <c r="D160" i="9"/>
  <c r="C160" i="9"/>
  <c r="B160" i="9"/>
  <c r="G159" i="9"/>
  <c r="D159" i="9"/>
  <c r="C159" i="9"/>
  <c r="B159" i="9"/>
  <c r="H158" i="9"/>
  <c r="I28" i="11" s="1"/>
  <c r="G158" i="9"/>
  <c r="D158" i="9"/>
  <c r="C158" i="9"/>
  <c r="B158" i="9"/>
  <c r="G157" i="9"/>
  <c r="D157" i="9"/>
  <c r="C157" i="9"/>
  <c r="B157" i="9"/>
  <c r="K156" i="9"/>
  <c r="H156" i="9"/>
  <c r="I26" i="11" s="1"/>
  <c r="G156" i="9"/>
  <c r="I156" i="9" s="1"/>
  <c r="D156" i="9"/>
  <c r="C156" i="9"/>
  <c r="B156" i="9"/>
  <c r="I155" i="9"/>
  <c r="J155" i="9" s="1"/>
  <c r="N25" i="11" s="1"/>
  <c r="G155" i="9"/>
  <c r="H155" i="9" s="1"/>
  <c r="D155" i="9"/>
  <c r="C155" i="9"/>
  <c r="B155" i="9"/>
  <c r="I154" i="9"/>
  <c r="G154" i="9"/>
  <c r="D154" i="9"/>
  <c r="C154" i="9"/>
  <c r="B154" i="9"/>
  <c r="G153" i="9"/>
  <c r="D153" i="9"/>
  <c r="C153" i="9"/>
  <c r="B153" i="9"/>
  <c r="G152" i="9"/>
  <c r="D152" i="9"/>
  <c r="C152" i="9"/>
  <c r="B152" i="9"/>
  <c r="H151" i="9"/>
  <c r="G151" i="9"/>
  <c r="I151" i="9" s="1"/>
  <c r="D151" i="9"/>
  <c r="C151" i="9"/>
  <c r="B151" i="9"/>
  <c r="K150" i="9"/>
  <c r="H150" i="9"/>
  <c r="I20" i="11" s="1"/>
  <c r="G150" i="9"/>
  <c r="I150" i="9" s="1"/>
  <c r="D150" i="9"/>
  <c r="C150" i="9"/>
  <c r="B150" i="9"/>
  <c r="J149" i="9"/>
  <c r="N19" i="11" s="1"/>
  <c r="I149" i="9"/>
  <c r="J19" i="11" s="1"/>
  <c r="G149" i="9"/>
  <c r="H149" i="9" s="1"/>
  <c r="D149" i="9"/>
  <c r="C149" i="9"/>
  <c r="B149" i="9"/>
  <c r="G148" i="9"/>
  <c r="H148" i="9" s="1"/>
  <c r="I18" i="11" s="1"/>
  <c r="D148" i="9"/>
  <c r="C148" i="9"/>
  <c r="B148" i="9"/>
  <c r="G147" i="9"/>
  <c r="D147" i="9"/>
  <c r="C147" i="9"/>
  <c r="B147" i="9"/>
  <c r="J146" i="9"/>
  <c r="N16" i="11" s="1"/>
  <c r="I146" i="9"/>
  <c r="J16" i="11" s="1"/>
  <c r="H146" i="9"/>
  <c r="K146" i="9" s="1"/>
  <c r="G146" i="9"/>
  <c r="D146" i="9"/>
  <c r="C146" i="9"/>
  <c r="B146" i="9"/>
  <c r="I145" i="9"/>
  <c r="H145" i="9"/>
  <c r="K145" i="9" s="1"/>
  <c r="G145" i="9"/>
  <c r="D145" i="9"/>
  <c r="C145" i="9"/>
  <c r="B145" i="9"/>
  <c r="G144" i="9"/>
  <c r="D144" i="9"/>
  <c r="C144" i="9"/>
  <c r="B144" i="9"/>
  <c r="G143" i="9"/>
  <c r="D143" i="9"/>
  <c r="C143" i="9"/>
  <c r="B143" i="9"/>
  <c r="J142" i="9"/>
  <c r="N12" i="11" s="1"/>
  <c r="I142" i="9"/>
  <c r="J12" i="11" s="1"/>
  <c r="H142" i="9"/>
  <c r="I12" i="11" s="1"/>
  <c r="G142" i="9"/>
  <c r="D142" i="9"/>
  <c r="C142" i="9"/>
  <c r="B142" i="9"/>
  <c r="G141" i="9"/>
  <c r="E141" i="9"/>
  <c r="F141" i="9" s="1"/>
  <c r="D141" i="9"/>
  <c r="C141" i="9"/>
  <c r="B141" i="9"/>
  <c r="G140" i="9"/>
  <c r="D140" i="9"/>
  <c r="C140" i="9"/>
  <c r="B140" i="9"/>
  <c r="I139" i="9"/>
  <c r="J9" i="11" s="1"/>
  <c r="H139" i="9"/>
  <c r="K139" i="9" s="1"/>
  <c r="G139" i="9"/>
  <c r="D139" i="9"/>
  <c r="C139" i="9"/>
  <c r="B139" i="9"/>
  <c r="G138" i="9"/>
  <c r="D138" i="9"/>
  <c r="C138" i="9"/>
  <c r="B138" i="9"/>
  <c r="I137" i="9"/>
  <c r="G137" i="9"/>
  <c r="H137" i="9" s="1"/>
  <c r="K137" i="9" s="1"/>
  <c r="D137" i="9"/>
  <c r="C137" i="9"/>
  <c r="B137" i="9"/>
  <c r="K136" i="9"/>
  <c r="I136" i="9"/>
  <c r="H136" i="9"/>
  <c r="I6" i="11" s="1"/>
  <c r="G136" i="9"/>
  <c r="D136" i="9"/>
  <c r="C136" i="9"/>
  <c r="B136" i="9"/>
  <c r="G135" i="9"/>
  <c r="D135" i="9"/>
  <c r="C135" i="9"/>
  <c r="B135" i="9"/>
  <c r="G134" i="9"/>
  <c r="D134" i="9"/>
  <c r="C134" i="9"/>
  <c r="B134" i="9"/>
  <c r="H133" i="9"/>
  <c r="G133" i="9"/>
  <c r="I133" i="9" s="1"/>
  <c r="D133" i="9"/>
  <c r="C133" i="9"/>
  <c r="B133" i="9"/>
  <c r="K129" i="9"/>
  <c r="H129" i="9"/>
  <c r="G42" i="11" s="1"/>
  <c r="G129" i="9"/>
  <c r="I129" i="9" s="1"/>
  <c r="D129" i="9"/>
  <c r="C129" i="9"/>
  <c r="B129" i="9"/>
  <c r="K128" i="9"/>
  <c r="I128" i="9"/>
  <c r="G128" i="9"/>
  <c r="H128" i="9" s="1"/>
  <c r="G41" i="11" s="1"/>
  <c r="C128" i="9"/>
  <c r="B128" i="9"/>
  <c r="I127" i="9"/>
  <c r="H127" i="9"/>
  <c r="G40" i="11" s="1"/>
  <c r="G127" i="9"/>
  <c r="D127" i="9"/>
  <c r="C127" i="9"/>
  <c r="B127" i="9"/>
  <c r="G126" i="9"/>
  <c r="C126" i="9"/>
  <c r="F126" i="9" s="1"/>
  <c r="B126" i="9"/>
  <c r="G125" i="9"/>
  <c r="D125" i="9"/>
  <c r="C125" i="9"/>
  <c r="B125" i="9"/>
  <c r="G124" i="9"/>
  <c r="D124" i="9"/>
  <c r="F124" i="9" s="1"/>
  <c r="C124" i="9"/>
  <c r="B124" i="9"/>
  <c r="K123" i="9"/>
  <c r="I123" i="9"/>
  <c r="H123" i="9"/>
  <c r="G36" i="11" s="1"/>
  <c r="G123" i="9"/>
  <c r="E123" i="9"/>
  <c r="C123" i="9"/>
  <c r="B123" i="9"/>
  <c r="K122" i="9"/>
  <c r="J122" i="9"/>
  <c r="M35" i="11" s="1"/>
  <c r="I122" i="9"/>
  <c r="H35" i="11" s="1"/>
  <c r="G122" i="9"/>
  <c r="H122" i="9" s="1"/>
  <c r="G35" i="11" s="1"/>
  <c r="C122" i="9"/>
  <c r="B122" i="9"/>
  <c r="J121" i="9"/>
  <c r="M34" i="11" s="1"/>
  <c r="I121" i="9"/>
  <c r="H34" i="11" s="1"/>
  <c r="H121" i="9"/>
  <c r="G121" i="9"/>
  <c r="C121" i="9"/>
  <c r="B121" i="9"/>
  <c r="G120" i="9"/>
  <c r="E120" i="9"/>
  <c r="C120" i="9"/>
  <c r="B120" i="9"/>
  <c r="G119" i="9"/>
  <c r="D119" i="9"/>
  <c r="C119" i="9"/>
  <c r="B119" i="9"/>
  <c r="K118" i="9"/>
  <c r="I118" i="9"/>
  <c r="H31" i="11" s="1"/>
  <c r="H118" i="9"/>
  <c r="G118" i="9"/>
  <c r="D118" i="9"/>
  <c r="C118" i="9"/>
  <c r="B118" i="9"/>
  <c r="G117" i="9"/>
  <c r="E117" i="9"/>
  <c r="C117" i="9"/>
  <c r="B117" i="9"/>
  <c r="G116" i="9"/>
  <c r="D116" i="9"/>
  <c r="C116" i="9"/>
  <c r="B116" i="9"/>
  <c r="G115" i="9"/>
  <c r="C115" i="9"/>
  <c r="B115" i="9"/>
  <c r="G114" i="9"/>
  <c r="C114" i="9"/>
  <c r="B114" i="9"/>
  <c r="G113" i="9"/>
  <c r="C113" i="9"/>
  <c r="B113" i="9"/>
  <c r="G112" i="9"/>
  <c r="D112" i="9"/>
  <c r="C112" i="9"/>
  <c r="B112" i="9"/>
  <c r="G111" i="9"/>
  <c r="D111" i="9"/>
  <c r="C111" i="9"/>
  <c r="B111" i="9"/>
  <c r="G110" i="9"/>
  <c r="C110" i="9"/>
  <c r="B110" i="9"/>
  <c r="G109" i="9"/>
  <c r="D109" i="9"/>
  <c r="C109" i="9"/>
  <c r="B109" i="9"/>
  <c r="G108" i="9"/>
  <c r="E108" i="9"/>
  <c r="C108" i="9"/>
  <c r="B108" i="9"/>
  <c r="G107" i="9"/>
  <c r="C107" i="9"/>
  <c r="B107" i="9"/>
  <c r="G106" i="9"/>
  <c r="D106" i="9"/>
  <c r="C106" i="9"/>
  <c r="B106" i="9"/>
  <c r="G105" i="9"/>
  <c r="E105" i="9"/>
  <c r="C105" i="9"/>
  <c r="B105" i="9"/>
  <c r="G104" i="9"/>
  <c r="D104" i="9"/>
  <c r="C104" i="9"/>
  <c r="B104" i="9"/>
  <c r="G103" i="9"/>
  <c r="C103" i="9"/>
  <c r="B103" i="9"/>
  <c r="F103" i="9" s="1"/>
  <c r="J102" i="9"/>
  <c r="M15" i="11" s="1"/>
  <c r="I102" i="9"/>
  <c r="H15" i="11" s="1"/>
  <c r="G102" i="9"/>
  <c r="H102" i="9" s="1"/>
  <c r="G15" i="11" s="1"/>
  <c r="C102" i="9"/>
  <c r="B102" i="9"/>
  <c r="G101" i="9"/>
  <c r="D101" i="9"/>
  <c r="C101" i="9"/>
  <c r="B101" i="9"/>
  <c r="G100" i="9"/>
  <c r="C100" i="9"/>
  <c r="B100" i="9"/>
  <c r="G99" i="9"/>
  <c r="E99" i="9"/>
  <c r="D99" i="9"/>
  <c r="C99" i="9"/>
  <c r="B99" i="9"/>
  <c r="G98" i="9"/>
  <c r="C98" i="9"/>
  <c r="B98" i="9"/>
  <c r="G97" i="9"/>
  <c r="C97" i="9"/>
  <c r="B97" i="9"/>
  <c r="I96" i="9"/>
  <c r="G96" i="9"/>
  <c r="H96" i="9" s="1"/>
  <c r="C96" i="9"/>
  <c r="B96" i="9"/>
  <c r="G95" i="9"/>
  <c r="C95" i="9"/>
  <c r="B95" i="9"/>
  <c r="G94" i="9"/>
  <c r="D94" i="9"/>
  <c r="C94" i="9"/>
  <c r="B94" i="9"/>
  <c r="J93" i="9"/>
  <c r="M6" i="11" s="1"/>
  <c r="I93" i="9"/>
  <c r="H6" i="11" s="1"/>
  <c r="H93" i="9"/>
  <c r="G93" i="9"/>
  <c r="E93" i="9"/>
  <c r="C93" i="9"/>
  <c r="B93" i="9"/>
  <c r="G92" i="9"/>
  <c r="C92" i="9"/>
  <c r="B92" i="9"/>
  <c r="G91" i="9"/>
  <c r="C91" i="9"/>
  <c r="B91" i="9"/>
  <c r="G90" i="9"/>
  <c r="E90" i="9"/>
  <c r="C90" i="9"/>
  <c r="B90" i="9"/>
  <c r="K86" i="9"/>
  <c r="H86" i="9"/>
  <c r="E42" i="11" s="1"/>
  <c r="G86" i="9"/>
  <c r="I86" i="9" s="1"/>
  <c r="D86" i="9"/>
  <c r="C86" i="9"/>
  <c r="B86" i="9"/>
  <c r="I85" i="9"/>
  <c r="J85" i="9" s="1"/>
  <c r="L41" i="11" s="1"/>
  <c r="H85" i="9"/>
  <c r="G85" i="9"/>
  <c r="D85" i="9"/>
  <c r="C85" i="9"/>
  <c r="B85" i="9"/>
  <c r="K84" i="9"/>
  <c r="J84" i="9"/>
  <c r="L40" i="11" s="1"/>
  <c r="H84" i="9"/>
  <c r="E40" i="11" s="1"/>
  <c r="G84" i="9"/>
  <c r="I84" i="9" s="1"/>
  <c r="F40" i="11" s="1"/>
  <c r="D84" i="9"/>
  <c r="C84" i="9"/>
  <c r="B84" i="9"/>
  <c r="I83" i="9"/>
  <c r="H83" i="9"/>
  <c r="G83" i="9"/>
  <c r="D83" i="9"/>
  <c r="C83" i="9"/>
  <c r="B83" i="9"/>
  <c r="G82" i="9"/>
  <c r="D82" i="9"/>
  <c r="F82" i="9" s="1"/>
  <c r="C82" i="9"/>
  <c r="B82" i="9"/>
  <c r="G81" i="9"/>
  <c r="D81" i="9"/>
  <c r="C81" i="9"/>
  <c r="B81" i="9"/>
  <c r="I80" i="9"/>
  <c r="F36" i="11" s="1"/>
  <c r="H80" i="9"/>
  <c r="G80" i="9"/>
  <c r="D80" i="9"/>
  <c r="C80" i="9"/>
  <c r="B80" i="9"/>
  <c r="J79" i="9"/>
  <c r="L35" i="11" s="1"/>
  <c r="I79" i="9"/>
  <c r="F35" i="11" s="1"/>
  <c r="H79" i="9"/>
  <c r="G79" i="9"/>
  <c r="D79" i="9"/>
  <c r="C79" i="9"/>
  <c r="B79" i="9"/>
  <c r="G78" i="9"/>
  <c r="I78" i="9" s="1"/>
  <c r="D78" i="9"/>
  <c r="C78" i="9"/>
  <c r="B78" i="9"/>
  <c r="I77" i="9"/>
  <c r="H77" i="9"/>
  <c r="E33" i="11" s="1"/>
  <c r="G77" i="9"/>
  <c r="D77" i="9"/>
  <c r="C77" i="9"/>
  <c r="B77" i="9"/>
  <c r="G76" i="9"/>
  <c r="D76" i="9"/>
  <c r="C76" i="9"/>
  <c r="B76" i="9"/>
  <c r="G75" i="9"/>
  <c r="D75" i="9"/>
  <c r="C75" i="9"/>
  <c r="B75" i="9"/>
  <c r="G74" i="9"/>
  <c r="D74" i="9"/>
  <c r="C74" i="9"/>
  <c r="B74" i="9"/>
  <c r="G73" i="9"/>
  <c r="I73" i="9" s="1"/>
  <c r="D73" i="9"/>
  <c r="C73" i="9"/>
  <c r="B73" i="9"/>
  <c r="G72" i="9"/>
  <c r="D72" i="9"/>
  <c r="C72" i="9"/>
  <c r="B72" i="9"/>
  <c r="G71" i="9"/>
  <c r="D71" i="9"/>
  <c r="C71" i="9"/>
  <c r="B71" i="9"/>
  <c r="G70" i="9"/>
  <c r="D70" i="9"/>
  <c r="C70" i="9"/>
  <c r="B70" i="9"/>
  <c r="I69" i="9"/>
  <c r="F25" i="11" s="1"/>
  <c r="H69" i="9"/>
  <c r="G69" i="9"/>
  <c r="D69" i="9"/>
  <c r="C69" i="9"/>
  <c r="B69" i="9"/>
  <c r="G68" i="9"/>
  <c r="D68" i="9"/>
  <c r="C68" i="9"/>
  <c r="B68" i="9"/>
  <c r="F68" i="9" s="1"/>
  <c r="G67" i="9"/>
  <c r="D67" i="9"/>
  <c r="C67" i="9"/>
  <c r="B67" i="9"/>
  <c r="G66" i="9"/>
  <c r="D66" i="9"/>
  <c r="C66" i="9"/>
  <c r="B66" i="9"/>
  <c r="K65" i="9"/>
  <c r="J65" i="9"/>
  <c r="L21" i="11" s="1"/>
  <c r="I65" i="9"/>
  <c r="F21" i="11" s="1"/>
  <c r="H65" i="9"/>
  <c r="E21" i="11" s="1"/>
  <c r="G65" i="9"/>
  <c r="D65" i="9"/>
  <c r="C65" i="9"/>
  <c r="B65" i="9"/>
  <c r="I64" i="9"/>
  <c r="F20" i="11" s="1"/>
  <c r="H64" i="9"/>
  <c r="K64" i="9" s="1"/>
  <c r="G64" i="9"/>
  <c r="D64" i="9"/>
  <c r="C64" i="9"/>
  <c r="B64" i="9"/>
  <c r="I63" i="9"/>
  <c r="F19" i="11" s="1"/>
  <c r="G63" i="9"/>
  <c r="H63" i="9" s="1"/>
  <c r="D63" i="9"/>
  <c r="C63" i="9"/>
  <c r="B63" i="9"/>
  <c r="G62" i="9"/>
  <c r="I62" i="9" s="1"/>
  <c r="D62" i="9"/>
  <c r="C62" i="9"/>
  <c r="B62" i="9"/>
  <c r="G61" i="9"/>
  <c r="D61" i="9"/>
  <c r="C61" i="9"/>
  <c r="B61" i="9"/>
  <c r="K60" i="9"/>
  <c r="J60" i="9"/>
  <c r="L16" i="11" s="1"/>
  <c r="H60" i="9"/>
  <c r="E16" i="11" s="1"/>
  <c r="G60" i="9"/>
  <c r="I60" i="9" s="1"/>
  <c r="F16" i="11" s="1"/>
  <c r="D60" i="9"/>
  <c r="C60" i="9"/>
  <c r="B60" i="9"/>
  <c r="I59" i="9"/>
  <c r="H59" i="9"/>
  <c r="E15" i="11" s="1"/>
  <c r="G59" i="9"/>
  <c r="D59" i="9"/>
  <c r="C59" i="9"/>
  <c r="B59" i="9"/>
  <c r="G58" i="9"/>
  <c r="D58" i="9"/>
  <c r="C58" i="9"/>
  <c r="B58" i="9"/>
  <c r="G57" i="9"/>
  <c r="D57" i="9"/>
  <c r="C57" i="9"/>
  <c r="B57" i="9"/>
  <c r="J56" i="9"/>
  <c r="L12" i="11" s="1"/>
  <c r="I56" i="9"/>
  <c r="F12" i="11" s="1"/>
  <c r="H56" i="9"/>
  <c r="G56" i="9"/>
  <c r="D56" i="9"/>
  <c r="C56" i="9"/>
  <c r="B56" i="9"/>
  <c r="G55" i="9"/>
  <c r="D55" i="9"/>
  <c r="C55" i="9"/>
  <c r="B55" i="9"/>
  <c r="G54" i="9"/>
  <c r="D54" i="9"/>
  <c r="C54" i="9"/>
  <c r="B54" i="9"/>
  <c r="I53" i="9"/>
  <c r="H53" i="9"/>
  <c r="G53" i="9"/>
  <c r="D53" i="9"/>
  <c r="C53" i="9"/>
  <c r="B53" i="9"/>
  <c r="G52" i="9"/>
  <c r="D52" i="9"/>
  <c r="C52" i="9"/>
  <c r="B52" i="9"/>
  <c r="F52" i="9" s="1"/>
  <c r="G51" i="9"/>
  <c r="D51" i="9"/>
  <c r="C51" i="9"/>
  <c r="B51" i="9"/>
  <c r="K50" i="9"/>
  <c r="I50" i="9"/>
  <c r="F6" i="11" s="1"/>
  <c r="H50" i="9"/>
  <c r="E6" i="11" s="1"/>
  <c r="G50" i="9"/>
  <c r="D50" i="9"/>
  <c r="C50" i="9"/>
  <c r="B50" i="9"/>
  <c r="G49" i="9"/>
  <c r="D49" i="9"/>
  <c r="C49" i="9"/>
  <c r="B49" i="9"/>
  <c r="G48" i="9"/>
  <c r="D48" i="9"/>
  <c r="C48" i="9"/>
  <c r="B48" i="9"/>
  <c r="G47" i="9"/>
  <c r="D47" i="9"/>
  <c r="C47" i="9"/>
  <c r="B47" i="9"/>
  <c r="I43" i="9"/>
  <c r="D42" i="11" s="1"/>
  <c r="H43" i="9"/>
  <c r="K43" i="9" s="1"/>
  <c r="G43" i="9"/>
  <c r="E43" i="9"/>
  <c r="C43" i="9"/>
  <c r="B43" i="9"/>
  <c r="K42" i="9"/>
  <c r="J42" i="9"/>
  <c r="K41" i="11" s="1"/>
  <c r="O41" i="11" s="1"/>
  <c r="I42" i="9"/>
  <c r="D41" i="11" s="1"/>
  <c r="G42" i="9"/>
  <c r="H42" i="9" s="1"/>
  <c r="C41" i="11" s="1"/>
  <c r="C42" i="9"/>
  <c r="B42" i="9"/>
  <c r="F42" i="9" s="1"/>
  <c r="I41" i="9"/>
  <c r="D40" i="11" s="1"/>
  <c r="H41" i="9"/>
  <c r="G41" i="9"/>
  <c r="D41" i="9"/>
  <c r="C41" i="9"/>
  <c r="B41" i="9"/>
  <c r="J40" i="9"/>
  <c r="G40" i="9"/>
  <c r="I40" i="9" s="1"/>
  <c r="D39" i="11" s="1"/>
  <c r="C40" i="9"/>
  <c r="B40" i="9"/>
  <c r="G39" i="9"/>
  <c r="E39" i="9"/>
  <c r="C39" i="9"/>
  <c r="B39" i="9"/>
  <c r="G38" i="9"/>
  <c r="D38" i="9"/>
  <c r="C38" i="9"/>
  <c r="B38" i="9"/>
  <c r="F38" i="9" s="1"/>
  <c r="I37" i="9"/>
  <c r="J37" i="9" s="1"/>
  <c r="K36" i="11" s="1"/>
  <c r="H37" i="9"/>
  <c r="G37" i="9"/>
  <c r="C37" i="9"/>
  <c r="B37" i="9"/>
  <c r="G36" i="9"/>
  <c r="C36" i="9"/>
  <c r="B36" i="9"/>
  <c r="I35" i="9"/>
  <c r="D34" i="11" s="1"/>
  <c r="H35" i="9"/>
  <c r="G35" i="9"/>
  <c r="C35" i="9"/>
  <c r="B35" i="9"/>
  <c r="G34" i="9"/>
  <c r="C34" i="9"/>
  <c r="B34" i="9"/>
  <c r="F34" i="9" s="1"/>
  <c r="H34" i="9" s="1"/>
  <c r="G33" i="9"/>
  <c r="E33" i="9"/>
  <c r="C33" i="9"/>
  <c r="B33" i="9"/>
  <c r="G32" i="9"/>
  <c r="D32" i="9"/>
  <c r="F32" i="9" s="1"/>
  <c r="C32" i="9"/>
  <c r="B32" i="9"/>
  <c r="G31" i="9"/>
  <c r="E31" i="9"/>
  <c r="C31" i="9"/>
  <c r="B31" i="9"/>
  <c r="G30" i="9"/>
  <c r="C30" i="9"/>
  <c r="B30" i="9"/>
  <c r="G29" i="9"/>
  <c r="D29" i="9"/>
  <c r="F29" i="9" s="1"/>
  <c r="H29" i="9" s="1"/>
  <c r="C29" i="9"/>
  <c r="B29" i="9"/>
  <c r="G28" i="9"/>
  <c r="C28" i="9"/>
  <c r="B28" i="9"/>
  <c r="G27" i="9"/>
  <c r="C27" i="9"/>
  <c r="B27" i="9"/>
  <c r="J26" i="9"/>
  <c r="K25" i="11" s="1"/>
  <c r="I26" i="9"/>
  <c r="D25" i="11" s="1"/>
  <c r="G26" i="9"/>
  <c r="H26" i="9" s="1"/>
  <c r="D26" i="9"/>
  <c r="C26" i="9"/>
  <c r="B26" i="9"/>
  <c r="F26" i="9" s="1"/>
  <c r="G25" i="9"/>
  <c r="E25" i="9"/>
  <c r="C25" i="9"/>
  <c r="B25" i="9"/>
  <c r="G24" i="9"/>
  <c r="C24" i="9"/>
  <c r="B24" i="9"/>
  <c r="F24" i="9" s="1"/>
  <c r="G23" i="9"/>
  <c r="D23" i="9"/>
  <c r="F23" i="9" s="1"/>
  <c r="H23" i="9" s="1"/>
  <c r="C23" i="9"/>
  <c r="B23" i="9"/>
  <c r="G22" i="9"/>
  <c r="C22" i="9"/>
  <c r="B22" i="9"/>
  <c r="G21" i="9"/>
  <c r="E21" i="9"/>
  <c r="C21" i="9"/>
  <c r="B21" i="9"/>
  <c r="G20" i="9"/>
  <c r="C20" i="9"/>
  <c r="B20" i="9"/>
  <c r="I19" i="9"/>
  <c r="D18" i="11" s="1"/>
  <c r="H19" i="9"/>
  <c r="G19" i="9"/>
  <c r="C19" i="9"/>
  <c r="B19" i="9"/>
  <c r="G18" i="9"/>
  <c r="C18" i="9"/>
  <c r="B18" i="9"/>
  <c r="F18" i="9" s="1"/>
  <c r="G17" i="9"/>
  <c r="C17" i="9"/>
  <c r="B17" i="9"/>
  <c r="G16" i="9"/>
  <c r="C16" i="9"/>
  <c r="B16" i="9"/>
  <c r="G15" i="9"/>
  <c r="I15" i="9" s="1"/>
  <c r="C15" i="9"/>
  <c r="B15" i="9"/>
  <c r="G14" i="9"/>
  <c r="D14" i="9"/>
  <c r="C14" i="9"/>
  <c r="B14" i="9"/>
  <c r="F14" i="9" s="1"/>
  <c r="I13" i="9"/>
  <c r="D12" i="11" s="1"/>
  <c r="H13" i="9"/>
  <c r="K13" i="9" s="1"/>
  <c r="G13" i="9"/>
  <c r="E13" i="9"/>
  <c r="D13" i="9"/>
  <c r="C13" i="9"/>
  <c r="B13" i="9"/>
  <c r="G12" i="9"/>
  <c r="C12" i="9"/>
  <c r="B12" i="9"/>
  <c r="F12" i="9" s="1"/>
  <c r="G11" i="9"/>
  <c r="C11" i="9"/>
  <c r="B11" i="9"/>
  <c r="J10" i="9"/>
  <c r="K9" i="11" s="1"/>
  <c r="I10" i="9"/>
  <c r="D9" i="11" s="1"/>
  <c r="G10" i="9"/>
  <c r="H10" i="9" s="1"/>
  <c r="E10" i="9"/>
  <c r="C10" i="9"/>
  <c r="B10" i="9"/>
  <c r="G9" i="9"/>
  <c r="I9" i="9" s="1"/>
  <c r="E9" i="9"/>
  <c r="C9" i="9"/>
  <c r="B9" i="9"/>
  <c r="G8" i="9"/>
  <c r="C8" i="9"/>
  <c r="F8" i="9" s="1"/>
  <c r="B8" i="9"/>
  <c r="K7" i="9"/>
  <c r="I7" i="9"/>
  <c r="H7" i="9"/>
  <c r="C6" i="11" s="1"/>
  <c r="G7" i="9"/>
  <c r="E7" i="9"/>
  <c r="D7" i="9"/>
  <c r="C7" i="9"/>
  <c r="B7" i="9"/>
  <c r="G6" i="9"/>
  <c r="C6" i="9"/>
  <c r="B6" i="9"/>
  <c r="I5" i="9"/>
  <c r="D4" i="11" s="1"/>
  <c r="G5" i="9"/>
  <c r="C5" i="9"/>
  <c r="B5" i="9"/>
  <c r="G4" i="9"/>
  <c r="I4" i="9" s="1"/>
  <c r="C4" i="9"/>
  <c r="B4" i="9"/>
  <c r="Q42" i="6"/>
  <c r="E129" i="9" s="1"/>
  <c r="P42" i="6"/>
  <c r="E172" i="9" s="1"/>
  <c r="O42" i="6"/>
  <c r="N42" i="6"/>
  <c r="D43" i="9" s="1"/>
  <c r="Q41" i="6"/>
  <c r="E128" i="9" s="1"/>
  <c r="P41" i="6"/>
  <c r="O41" i="6"/>
  <c r="E42" i="9" s="1"/>
  <c r="N41" i="6"/>
  <c r="D42" i="9" s="1"/>
  <c r="Q40" i="6"/>
  <c r="E127" i="9" s="1"/>
  <c r="P40" i="6"/>
  <c r="O40" i="6"/>
  <c r="E41" i="9" s="1"/>
  <c r="N40" i="6"/>
  <c r="E84" i="9" s="1"/>
  <c r="Q39" i="6"/>
  <c r="E126" i="9" s="1"/>
  <c r="P39" i="6"/>
  <c r="D126" i="9" s="1"/>
  <c r="O39" i="6"/>
  <c r="E40" i="9" s="1"/>
  <c r="N39" i="6"/>
  <c r="Q38" i="6"/>
  <c r="E125" i="9" s="1"/>
  <c r="P38" i="6"/>
  <c r="O38" i="6"/>
  <c r="N38" i="6"/>
  <c r="E82" i="9" s="1"/>
  <c r="Q37" i="6"/>
  <c r="E124" i="9" s="1"/>
  <c r="P37" i="6"/>
  <c r="O37" i="6"/>
  <c r="E38" i="9" s="1"/>
  <c r="N37" i="6"/>
  <c r="Q36" i="6"/>
  <c r="P36" i="6"/>
  <c r="E166" i="9" s="1"/>
  <c r="O36" i="6"/>
  <c r="E37" i="9" s="1"/>
  <c r="N36" i="6"/>
  <c r="E80" i="9" s="1"/>
  <c r="Q35" i="6"/>
  <c r="E122" i="9" s="1"/>
  <c r="P35" i="6"/>
  <c r="O35" i="6"/>
  <c r="E36" i="9" s="1"/>
  <c r="N35" i="6"/>
  <c r="D36" i="9" s="1"/>
  <c r="F36" i="9" s="1"/>
  <c r="Q34" i="6"/>
  <c r="E121" i="9" s="1"/>
  <c r="P34" i="6"/>
  <c r="D121" i="9" s="1"/>
  <c r="O34" i="6"/>
  <c r="E35" i="9" s="1"/>
  <c r="N34" i="6"/>
  <c r="Q33" i="6"/>
  <c r="P33" i="6"/>
  <c r="O33" i="6"/>
  <c r="E34" i="9" s="1"/>
  <c r="N33" i="6"/>
  <c r="D34" i="9" s="1"/>
  <c r="Q32" i="6"/>
  <c r="E119" i="9" s="1"/>
  <c r="P32" i="6"/>
  <c r="O32" i="6"/>
  <c r="N32" i="6"/>
  <c r="E76" i="9" s="1"/>
  <c r="Q31" i="6"/>
  <c r="E118" i="9" s="1"/>
  <c r="P31" i="6"/>
  <c r="O31" i="6"/>
  <c r="E32" i="9" s="1"/>
  <c r="N31" i="6"/>
  <c r="Q30" i="6"/>
  <c r="P30" i="6"/>
  <c r="O30" i="6"/>
  <c r="N30" i="6"/>
  <c r="E74" i="9" s="1"/>
  <c r="Q29" i="6"/>
  <c r="E116" i="9" s="1"/>
  <c r="P29" i="6"/>
  <c r="O29" i="6"/>
  <c r="E30" i="9" s="1"/>
  <c r="N29" i="6"/>
  <c r="Q28" i="6"/>
  <c r="E115" i="9" s="1"/>
  <c r="P28" i="6"/>
  <c r="D115" i="9" s="1"/>
  <c r="O28" i="6"/>
  <c r="E29" i="9" s="1"/>
  <c r="N28" i="6"/>
  <c r="Q27" i="6"/>
  <c r="E114" i="9" s="1"/>
  <c r="P27" i="6"/>
  <c r="O27" i="6"/>
  <c r="E28" i="9" s="1"/>
  <c r="N27" i="6"/>
  <c r="D28" i="9" s="1"/>
  <c r="F28" i="9" s="1"/>
  <c r="H28" i="9" s="1"/>
  <c r="Q26" i="6"/>
  <c r="E113" i="9" s="1"/>
  <c r="P26" i="6"/>
  <c r="O26" i="6"/>
  <c r="E27" i="9" s="1"/>
  <c r="N26" i="6"/>
  <c r="E70" i="9" s="1"/>
  <c r="Q25" i="6"/>
  <c r="E112" i="9" s="1"/>
  <c r="P25" i="6"/>
  <c r="O25" i="6"/>
  <c r="E26" i="9" s="1"/>
  <c r="N25" i="6"/>
  <c r="Q24" i="6"/>
  <c r="E111" i="9" s="1"/>
  <c r="P24" i="6"/>
  <c r="E154" i="9" s="1"/>
  <c r="O24" i="6"/>
  <c r="N24" i="6"/>
  <c r="E68" i="9" s="1"/>
  <c r="Q23" i="6"/>
  <c r="E110" i="9" s="1"/>
  <c r="P23" i="6"/>
  <c r="O23" i="6"/>
  <c r="E24" i="9" s="1"/>
  <c r="N23" i="6"/>
  <c r="D24" i="9" s="1"/>
  <c r="Q22" i="6"/>
  <c r="E109" i="9" s="1"/>
  <c r="P22" i="6"/>
  <c r="O22" i="6"/>
  <c r="E23" i="9" s="1"/>
  <c r="N22" i="6"/>
  <c r="Q21" i="6"/>
  <c r="P21" i="6"/>
  <c r="O21" i="6"/>
  <c r="E22" i="9" s="1"/>
  <c r="N21" i="6"/>
  <c r="Q20" i="6"/>
  <c r="E107" i="9" s="1"/>
  <c r="P20" i="6"/>
  <c r="O20" i="6"/>
  <c r="N20" i="6"/>
  <c r="E64" i="9" s="1"/>
  <c r="Q19" i="6"/>
  <c r="E106" i="9" s="1"/>
  <c r="P19" i="6"/>
  <c r="O19" i="6"/>
  <c r="E20" i="9" s="1"/>
  <c r="N19" i="6"/>
  <c r="D20" i="9" s="1"/>
  <c r="Q18" i="6"/>
  <c r="P18" i="6"/>
  <c r="O18" i="6"/>
  <c r="E19" i="9" s="1"/>
  <c r="N18" i="6"/>
  <c r="E62" i="9" s="1"/>
  <c r="Q17" i="6"/>
  <c r="E104" i="9" s="1"/>
  <c r="P17" i="6"/>
  <c r="O17" i="6"/>
  <c r="E18" i="9" s="1"/>
  <c r="N17" i="6"/>
  <c r="D18" i="9" s="1"/>
  <c r="Q16" i="6"/>
  <c r="E103" i="9" s="1"/>
  <c r="P16" i="6"/>
  <c r="D103" i="9" s="1"/>
  <c r="O16" i="6"/>
  <c r="E17" i="9" s="1"/>
  <c r="N16" i="6"/>
  <c r="D17" i="9" s="1"/>
  <c r="F17" i="9" s="1"/>
  <c r="H17" i="9" s="1"/>
  <c r="Q15" i="6"/>
  <c r="E102" i="9" s="1"/>
  <c r="P15" i="6"/>
  <c r="O15" i="6"/>
  <c r="E16" i="9" s="1"/>
  <c r="N15" i="6"/>
  <c r="Q14" i="6"/>
  <c r="E101" i="9" s="1"/>
  <c r="P14" i="6"/>
  <c r="E144" i="9" s="1"/>
  <c r="O14" i="6"/>
  <c r="E15" i="9" s="1"/>
  <c r="N14" i="6"/>
  <c r="E58" i="9" s="1"/>
  <c r="F58" i="9" s="1"/>
  <c r="Q13" i="6"/>
  <c r="E100" i="9" s="1"/>
  <c r="F100" i="9" s="1"/>
  <c r="P13" i="6"/>
  <c r="D100" i="9" s="1"/>
  <c r="O13" i="6"/>
  <c r="E14" i="9" s="1"/>
  <c r="N13" i="6"/>
  <c r="Q12" i="6"/>
  <c r="P12" i="6"/>
  <c r="E142" i="9" s="1"/>
  <c r="O12" i="6"/>
  <c r="N12" i="6"/>
  <c r="E56" i="9" s="1"/>
  <c r="Q11" i="6"/>
  <c r="E98" i="9" s="1"/>
  <c r="P11" i="6"/>
  <c r="D98" i="9" s="1"/>
  <c r="O11" i="6"/>
  <c r="E12" i="9" s="1"/>
  <c r="N11" i="6"/>
  <c r="D12" i="9" s="1"/>
  <c r="Q10" i="6"/>
  <c r="E97" i="9" s="1"/>
  <c r="P10" i="6"/>
  <c r="O10" i="6"/>
  <c r="E11" i="9" s="1"/>
  <c r="N10" i="6"/>
  <c r="Q9" i="6"/>
  <c r="E96" i="9" s="1"/>
  <c r="P9" i="6"/>
  <c r="O9" i="6"/>
  <c r="N9" i="6"/>
  <c r="D10" i="9" s="1"/>
  <c r="F10" i="9" s="1"/>
  <c r="Q8" i="6"/>
  <c r="E95" i="9" s="1"/>
  <c r="P8" i="6"/>
  <c r="O8" i="6"/>
  <c r="N8" i="6"/>
  <c r="E52" i="9" s="1"/>
  <c r="Q7" i="6"/>
  <c r="E94" i="9" s="1"/>
  <c r="P7" i="6"/>
  <c r="O7" i="6"/>
  <c r="E8" i="9" s="1"/>
  <c r="N7" i="6"/>
  <c r="D8" i="9" s="1"/>
  <c r="Q6" i="6"/>
  <c r="P6" i="6"/>
  <c r="O6" i="6"/>
  <c r="N6" i="6"/>
  <c r="E50" i="9" s="1"/>
  <c r="Q5" i="6"/>
  <c r="E92" i="9" s="1"/>
  <c r="P5" i="6"/>
  <c r="O5" i="6"/>
  <c r="E6" i="9" s="1"/>
  <c r="N5" i="6"/>
  <c r="Q4" i="6"/>
  <c r="E91" i="9" s="1"/>
  <c r="P4" i="6"/>
  <c r="O4" i="6"/>
  <c r="E5" i="9" s="1"/>
  <c r="N4" i="6"/>
  <c r="D5" i="9" s="1"/>
  <c r="F5" i="9" s="1"/>
  <c r="Q3" i="6"/>
  <c r="P3" i="6"/>
  <c r="D90" i="9" s="1"/>
  <c r="F90" i="9" s="1"/>
  <c r="O3" i="6"/>
  <c r="E4" i="9" s="1"/>
  <c r="N3" i="6"/>
  <c r="J42" i="5"/>
  <c r="I42" i="13" s="1"/>
  <c r="I42" i="5"/>
  <c r="H42" i="13" s="1"/>
  <c r="H42" i="5"/>
  <c r="G42" i="13" s="1"/>
  <c r="J41" i="5"/>
  <c r="I41" i="13" s="1"/>
  <c r="I41" i="5"/>
  <c r="H41" i="13" s="1"/>
  <c r="H41" i="5"/>
  <c r="G41" i="13" s="1"/>
  <c r="J40" i="5"/>
  <c r="I40" i="13" s="1"/>
  <c r="I40" i="5"/>
  <c r="H40" i="13" s="1"/>
  <c r="H40" i="5"/>
  <c r="G40" i="13" s="1"/>
  <c r="J39" i="5"/>
  <c r="I39" i="13" s="1"/>
  <c r="I39" i="5"/>
  <c r="H39" i="13" s="1"/>
  <c r="H39" i="5"/>
  <c r="G39" i="13" s="1"/>
  <c r="J38" i="5"/>
  <c r="I38" i="5"/>
  <c r="H38" i="13" s="1"/>
  <c r="H38" i="5"/>
  <c r="G38" i="13" s="1"/>
  <c r="J37" i="5"/>
  <c r="I37" i="5"/>
  <c r="H37" i="13" s="1"/>
  <c r="H37" i="5"/>
  <c r="G37" i="13" s="1"/>
  <c r="J36" i="5"/>
  <c r="I36" i="13" s="1"/>
  <c r="I36" i="5"/>
  <c r="H36" i="13" s="1"/>
  <c r="H36" i="5"/>
  <c r="G36" i="13" s="1"/>
  <c r="J35" i="5"/>
  <c r="I35" i="13" s="1"/>
  <c r="I35" i="5"/>
  <c r="H35" i="13" s="1"/>
  <c r="H35" i="5"/>
  <c r="G35" i="13" s="1"/>
  <c r="J34" i="5"/>
  <c r="I34" i="13" s="1"/>
  <c r="I34" i="5"/>
  <c r="H34" i="13" s="1"/>
  <c r="H34" i="5"/>
  <c r="G34" i="13" s="1"/>
  <c r="J33" i="5"/>
  <c r="I33" i="13" s="1"/>
  <c r="I33" i="5"/>
  <c r="H33" i="13" s="1"/>
  <c r="H33" i="5"/>
  <c r="G33" i="13" s="1"/>
  <c r="J32" i="5"/>
  <c r="I32" i="13" s="1"/>
  <c r="I32" i="5"/>
  <c r="H32" i="13" s="1"/>
  <c r="H32" i="5"/>
  <c r="G32" i="13" s="1"/>
  <c r="J31" i="5"/>
  <c r="I31" i="13" s="1"/>
  <c r="I31" i="5"/>
  <c r="H31" i="13" s="1"/>
  <c r="H31" i="5"/>
  <c r="G31" i="13" s="1"/>
  <c r="J30" i="5"/>
  <c r="I30" i="5"/>
  <c r="H30" i="13" s="1"/>
  <c r="H30" i="5"/>
  <c r="G30" i="13" s="1"/>
  <c r="J29" i="5"/>
  <c r="I29" i="13" s="1"/>
  <c r="I29" i="5"/>
  <c r="H29" i="13" s="1"/>
  <c r="H29" i="5"/>
  <c r="G29" i="13" s="1"/>
  <c r="J28" i="5"/>
  <c r="H72" i="9" s="1"/>
  <c r="I28" i="5"/>
  <c r="H28" i="13" s="1"/>
  <c r="H28" i="5"/>
  <c r="G28" i="13" s="1"/>
  <c r="J27" i="5"/>
  <c r="I71" i="9" s="1"/>
  <c r="I27" i="5"/>
  <c r="H27" i="13" s="1"/>
  <c r="H27" i="5"/>
  <c r="G27" i="13" s="1"/>
  <c r="J26" i="5"/>
  <c r="I26" i="13" s="1"/>
  <c r="I26" i="5"/>
  <c r="H26" i="13" s="1"/>
  <c r="H26" i="5"/>
  <c r="G26" i="13" s="1"/>
  <c r="J25" i="5"/>
  <c r="I25" i="13" s="1"/>
  <c r="I25" i="5"/>
  <c r="H25" i="13" s="1"/>
  <c r="H25" i="5"/>
  <c r="G25" i="13" s="1"/>
  <c r="J24" i="5"/>
  <c r="I24" i="5"/>
  <c r="H24" i="13" s="1"/>
  <c r="H24" i="5"/>
  <c r="G24" i="13" s="1"/>
  <c r="J23" i="5"/>
  <c r="I23" i="13" s="1"/>
  <c r="I23" i="5"/>
  <c r="H23" i="13" s="1"/>
  <c r="H23" i="5"/>
  <c r="G23" i="13" s="1"/>
  <c r="J22" i="5"/>
  <c r="I22" i="13" s="1"/>
  <c r="I22" i="5"/>
  <c r="H22" i="13" s="1"/>
  <c r="H22" i="5"/>
  <c r="G22" i="13" s="1"/>
  <c r="J21" i="5"/>
  <c r="I21" i="13" s="1"/>
  <c r="I21" i="5"/>
  <c r="H21" i="13" s="1"/>
  <c r="H21" i="5"/>
  <c r="G21" i="13" s="1"/>
  <c r="J20" i="5"/>
  <c r="I20" i="13" s="1"/>
  <c r="I20" i="5"/>
  <c r="H20" i="13" s="1"/>
  <c r="H20" i="5"/>
  <c r="G20" i="13" s="1"/>
  <c r="J19" i="5"/>
  <c r="I19" i="13" s="1"/>
  <c r="I19" i="5"/>
  <c r="H19" i="13" s="1"/>
  <c r="H19" i="5"/>
  <c r="G19" i="13" s="1"/>
  <c r="J18" i="5"/>
  <c r="I18" i="13" s="1"/>
  <c r="I18" i="5"/>
  <c r="H18" i="13" s="1"/>
  <c r="H18" i="5"/>
  <c r="G18" i="13" s="1"/>
  <c r="J17" i="5"/>
  <c r="I17" i="5"/>
  <c r="H17" i="13" s="1"/>
  <c r="H17" i="5"/>
  <c r="G17" i="13" s="1"/>
  <c r="J16" i="5"/>
  <c r="I16" i="13" s="1"/>
  <c r="I16" i="5"/>
  <c r="H16" i="13" s="1"/>
  <c r="H16" i="5"/>
  <c r="G16" i="13" s="1"/>
  <c r="J15" i="5"/>
  <c r="I15" i="13" s="1"/>
  <c r="I15" i="5"/>
  <c r="H15" i="13" s="1"/>
  <c r="H15" i="5"/>
  <c r="G15" i="13" s="1"/>
  <c r="J14" i="5"/>
  <c r="I58" i="9" s="1"/>
  <c r="I14" i="5"/>
  <c r="H14" i="13" s="1"/>
  <c r="H14" i="5"/>
  <c r="G14" i="13" s="1"/>
  <c r="J13" i="5"/>
  <c r="I13" i="5"/>
  <c r="H13" i="13" s="1"/>
  <c r="H13" i="5"/>
  <c r="G13" i="13" s="1"/>
  <c r="J12" i="5"/>
  <c r="I12" i="13" s="1"/>
  <c r="I12" i="5"/>
  <c r="H12" i="13" s="1"/>
  <c r="H12" i="5"/>
  <c r="G12" i="13" s="1"/>
  <c r="J11" i="5"/>
  <c r="I141" i="9" s="1"/>
  <c r="I11" i="5"/>
  <c r="H11" i="13" s="1"/>
  <c r="H11" i="5"/>
  <c r="G11" i="13" s="1"/>
  <c r="J10" i="5"/>
  <c r="I10" i="13" s="1"/>
  <c r="I10" i="5"/>
  <c r="H10" i="13" s="1"/>
  <c r="H10" i="5"/>
  <c r="G10" i="13" s="1"/>
  <c r="J9" i="5"/>
  <c r="I9" i="13" s="1"/>
  <c r="I9" i="5"/>
  <c r="H9" i="13" s="1"/>
  <c r="H9" i="5"/>
  <c r="G9" i="13" s="1"/>
  <c r="J8" i="5"/>
  <c r="I8" i="5"/>
  <c r="H8" i="13" s="1"/>
  <c r="H8" i="5"/>
  <c r="G8" i="13" s="1"/>
  <c r="J7" i="5"/>
  <c r="I7" i="13" s="1"/>
  <c r="I7" i="5"/>
  <c r="H7" i="13" s="1"/>
  <c r="H7" i="5"/>
  <c r="G7" i="13" s="1"/>
  <c r="J6" i="5"/>
  <c r="I6" i="13" s="1"/>
  <c r="I6" i="5"/>
  <c r="H6" i="13" s="1"/>
  <c r="H6" i="5"/>
  <c r="G6" i="13" s="1"/>
  <c r="J5" i="5"/>
  <c r="I5" i="13" s="1"/>
  <c r="I5" i="5"/>
  <c r="H5" i="13" s="1"/>
  <c r="H5" i="5"/>
  <c r="G5" i="13" s="1"/>
  <c r="J4" i="5"/>
  <c r="I4" i="5"/>
  <c r="H4" i="13" s="1"/>
  <c r="H4" i="5"/>
  <c r="G4" i="13" s="1"/>
  <c r="J3" i="5"/>
  <c r="I3" i="13" s="1"/>
  <c r="I3" i="5"/>
  <c r="H3" i="13" s="1"/>
  <c r="H3" i="5"/>
  <c r="G3" i="13" s="1"/>
  <c r="S42" i="4"/>
  <c r="N42" i="13" s="1"/>
  <c r="R42" i="4"/>
  <c r="M42" i="13" s="1"/>
  <c r="Q42" i="4"/>
  <c r="F42" i="13" s="1"/>
  <c r="S41" i="4"/>
  <c r="N41" i="13" s="1"/>
  <c r="R41" i="4"/>
  <c r="M41" i="13" s="1"/>
  <c r="Q41" i="4"/>
  <c r="F41" i="13" s="1"/>
  <c r="S40" i="4"/>
  <c r="N40" i="13" s="1"/>
  <c r="R40" i="4"/>
  <c r="M40" i="13" s="1"/>
  <c r="Q40" i="4"/>
  <c r="F40" i="13" s="1"/>
  <c r="S39" i="4"/>
  <c r="N39" i="13" s="1"/>
  <c r="R39" i="4"/>
  <c r="M39" i="13" s="1"/>
  <c r="Q39" i="4"/>
  <c r="F39" i="13" s="1"/>
  <c r="S38" i="4"/>
  <c r="N38" i="13" s="1"/>
  <c r="R38" i="4"/>
  <c r="M38" i="13" s="1"/>
  <c r="Q38" i="4"/>
  <c r="F38" i="13" s="1"/>
  <c r="S37" i="4"/>
  <c r="N37" i="13" s="1"/>
  <c r="R37" i="4"/>
  <c r="M37" i="13" s="1"/>
  <c r="Q37" i="4"/>
  <c r="F37" i="13" s="1"/>
  <c r="S36" i="4"/>
  <c r="N36" i="13" s="1"/>
  <c r="R36" i="4"/>
  <c r="M36" i="13" s="1"/>
  <c r="Q36" i="4"/>
  <c r="F36" i="13" s="1"/>
  <c r="S35" i="4"/>
  <c r="N35" i="13" s="1"/>
  <c r="R35" i="4"/>
  <c r="M35" i="13" s="1"/>
  <c r="Q35" i="4"/>
  <c r="F35" i="13" s="1"/>
  <c r="S34" i="4"/>
  <c r="N34" i="13" s="1"/>
  <c r="R34" i="4"/>
  <c r="M34" i="13" s="1"/>
  <c r="Q34" i="4"/>
  <c r="F34" i="13" s="1"/>
  <c r="S33" i="4"/>
  <c r="N33" i="13" s="1"/>
  <c r="R33" i="4"/>
  <c r="M33" i="13" s="1"/>
  <c r="Q33" i="4"/>
  <c r="F33" i="13" s="1"/>
  <c r="S32" i="4"/>
  <c r="N32" i="13" s="1"/>
  <c r="R32" i="4"/>
  <c r="M32" i="13" s="1"/>
  <c r="Q32" i="4"/>
  <c r="F32" i="13" s="1"/>
  <c r="S31" i="4"/>
  <c r="N31" i="13" s="1"/>
  <c r="R31" i="4"/>
  <c r="M31" i="13" s="1"/>
  <c r="Q31" i="4"/>
  <c r="F31" i="13" s="1"/>
  <c r="S30" i="4"/>
  <c r="N30" i="13" s="1"/>
  <c r="R30" i="4"/>
  <c r="M30" i="13" s="1"/>
  <c r="Q30" i="4"/>
  <c r="F30" i="13" s="1"/>
  <c r="S29" i="4"/>
  <c r="N29" i="13" s="1"/>
  <c r="R29" i="4"/>
  <c r="M29" i="13" s="1"/>
  <c r="Q29" i="4"/>
  <c r="F29" i="13" s="1"/>
  <c r="S28" i="4"/>
  <c r="N28" i="13" s="1"/>
  <c r="R28" i="4"/>
  <c r="M28" i="13" s="1"/>
  <c r="Q28" i="4"/>
  <c r="F28" i="13" s="1"/>
  <c r="S27" i="4"/>
  <c r="N27" i="13" s="1"/>
  <c r="R27" i="4"/>
  <c r="M27" i="13" s="1"/>
  <c r="Q27" i="4"/>
  <c r="F27" i="13" s="1"/>
  <c r="S26" i="4"/>
  <c r="N26" i="13" s="1"/>
  <c r="R26" i="4"/>
  <c r="M26" i="13" s="1"/>
  <c r="Q26" i="4"/>
  <c r="F26" i="13" s="1"/>
  <c r="S25" i="4"/>
  <c r="N25" i="13" s="1"/>
  <c r="R25" i="4"/>
  <c r="M25" i="13" s="1"/>
  <c r="Q25" i="4"/>
  <c r="F25" i="13" s="1"/>
  <c r="S24" i="4"/>
  <c r="N24" i="13" s="1"/>
  <c r="R24" i="4"/>
  <c r="M24" i="13" s="1"/>
  <c r="Q24" i="4"/>
  <c r="F24" i="13" s="1"/>
  <c r="S23" i="4"/>
  <c r="N23" i="13" s="1"/>
  <c r="R23" i="4"/>
  <c r="M23" i="13" s="1"/>
  <c r="Q23" i="4"/>
  <c r="F23" i="13" s="1"/>
  <c r="S22" i="4"/>
  <c r="N22" i="13" s="1"/>
  <c r="R22" i="4"/>
  <c r="M22" i="13" s="1"/>
  <c r="Q22" i="4"/>
  <c r="F22" i="13" s="1"/>
  <c r="S21" i="4"/>
  <c r="N21" i="13" s="1"/>
  <c r="R21" i="4"/>
  <c r="M21" i="13" s="1"/>
  <c r="Q21" i="4"/>
  <c r="F21" i="13" s="1"/>
  <c r="S20" i="4"/>
  <c r="N20" i="13" s="1"/>
  <c r="R20" i="4"/>
  <c r="M20" i="13" s="1"/>
  <c r="Q20" i="4"/>
  <c r="F20" i="13" s="1"/>
  <c r="S19" i="4"/>
  <c r="N19" i="13" s="1"/>
  <c r="R19" i="4"/>
  <c r="M19" i="13" s="1"/>
  <c r="Q19" i="4"/>
  <c r="F19" i="13" s="1"/>
  <c r="S18" i="4"/>
  <c r="N18" i="13" s="1"/>
  <c r="R18" i="4"/>
  <c r="M18" i="13" s="1"/>
  <c r="Q18" i="4"/>
  <c r="F18" i="13" s="1"/>
  <c r="S17" i="4"/>
  <c r="N17" i="13" s="1"/>
  <c r="R17" i="4"/>
  <c r="Q17" i="4"/>
  <c r="F17" i="13" s="1"/>
  <c r="S16" i="4"/>
  <c r="N16" i="13" s="1"/>
  <c r="R16" i="4"/>
  <c r="M16" i="13" s="1"/>
  <c r="Q16" i="4"/>
  <c r="F16" i="13" s="1"/>
  <c r="S15" i="4"/>
  <c r="N15" i="13" s="1"/>
  <c r="R15" i="4"/>
  <c r="M15" i="13" s="1"/>
  <c r="Q15" i="4"/>
  <c r="F15" i="13" s="1"/>
  <c r="S14" i="4"/>
  <c r="N14" i="13" s="1"/>
  <c r="R14" i="4"/>
  <c r="M14" i="13" s="1"/>
  <c r="Q14" i="4"/>
  <c r="F14" i="13" s="1"/>
  <c r="S13" i="4"/>
  <c r="N13" i="13" s="1"/>
  <c r="R13" i="4"/>
  <c r="M13" i="13" s="1"/>
  <c r="Q13" i="4"/>
  <c r="F13" i="13" s="1"/>
  <c r="S12" i="4"/>
  <c r="N12" i="13" s="1"/>
  <c r="R12" i="4"/>
  <c r="M12" i="13" s="1"/>
  <c r="Q12" i="4"/>
  <c r="F12" i="13" s="1"/>
  <c r="S11" i="4"/>
  <c r="N11" i="13" s="1"/>
  <c r="R11" i="4"/>
  <c r="Q11" i="4"/>
  <c r="F11" i="13" s="1"/>
  <c r="S10" i="4"/>
  <c r="N10" i="13" s="1"/>
  <c r="R10" i="4"/>
  <c r="M10" i="13" s="1"/>
  <c r="Q10" i="4"/>
  <c r="F10" i="13" s="1"/>
  <c r="S9" i="4"/>
  <c r="N9" i="13" s="1"/>
  <c r="R9" i="4"/>
  <c r="M9" i="13" s="1"/>
  <c r="Q9" i="4"/>
  <c r="F9" i="13" s="1"/>
  <c r="S8" i="4"/>
  <c r="N8" i="13" s="1"/>
  <c r="R8" i="4"/>
  <c r="M8" i="13" s="1"/>
  <c r="Q8" i="4"/>
  <c r="F8" i="13" s="1"/>
  <c r="S7" i="4"/>
  <c r="N7" i="13" s="1"/>
  <c r="R7" i="4"/>
  <c r="M7" i="13" s="1"/>
  <c r="Q7" i="4"/>
  <c r="F7" i="13" s="1"/>
  <c r="S6" i="4"/>
  <c r="N6" i="13" s="1"/>
  <c r="R6" i="4"/>
  <c r="M6" i="13" s="1"/>
  <c r="Q6" i="4"/>
  <c r="F6" i="13" s="1"/>
  <c r="S5" i="4"/>
  <c r="N5" i="13" s="1"/>
  <c r="R5" i="4"/>
  <c r="Q5" i="4"/>
  <c r="F5" i="13" s="1"/>
  <c r="S4" i="4"/>
  <c r="N4" i="13" s="1"/>
  <c r="R4" i="4"/>
  <c r="M4" i="13" s="1"/>
  <c r="Q4" i="4"/>
  <c r="F4" i="13" s="1"/>
  <c r="S3" i="4"/>
  <c r="N3" i="13" s="1"/>
  <c r="R3" i="4"/>
  <c r="M3" i="13" s="1"/>
  <c r="Q3" i="4"/>
  <c r="F3" i="13" s="1"/>
  <c r="AE42" i="3"/>
  <c r="L42" i="13" s="1"/>
  <c r="AD42" i="3"/>
  <c r="K42" i="13" s="1"/>
  <c r="AC42" i="3"/>
  <c r="E42" i="13" s="1"/>
  <c r="AE41" i="3"/>
  <c r="L41" i="13" s="1"/>
  <c r="AD41" i="3"/>
  <c r="K41" i="13" s="1"/>
  <c r="AC41" i="3"/>
  <c r="E41" i="13" s="1"/>
  <c r="AE40" i="3"/>
  <c r="L40" i="13" s="1"/>
  <c r="AD40" i="3"/>
  <c r="K40" i="13" s="1"/>
  <c r="AC40" i="3"/>
  <c r="E40" i="13" s="1"/>
  <c r="AE39" i="3"/>
  <c r="L39" i="13" s="1"/>
  <c r="AD39" i="3"/>
  <c r="K39" i="13" s="1"/>
  <c r="AC39" i="3"/>
  <c r="E39" i="13" s="1"/>
  <c r="AE38" i="3"/>
  <c r="L38" i="13" s="1"/>
  <c r="AD38" i="3"/>
  <c r="K38" i="13" s="1"/>
  <c r="AC38" i="3"/>
  <c r="E38" i="13" s="1"/>
  <c r="AE37" i="3"/>
  <c r="L37" i="13" s="1"/>
  <c r="AD37" i="3"/>
  <c r="K37" i="13" s="1"/>
  <c r="AC37" i="3"/>
  <c r="E37" i="13" s="1"/>
  <c r="AE36" i="3"/>
  <c r="L36" i="13" s="1"/>
  <c r="AD36" i="3"/>
  <c r="K36" i="13" s="1"/>
  <c r="AC36" i="3"/>
  <c r="E36" i="13" s="1"/>
  <c r="AE35" i="3"/>
  <c r="L35" i="13" s="1"/>
  <c r="AD35" i="3"/>
  <c r="I36" i="9" s="1"/>
  <c r="D35" i="11" s="1"/>
  <c r="AC35" i="3"/>
  <c r="E35" i="13" s="1"/>
  <c r="AE34" i="3"/>
  <c r="L34" i="13" s="1"/>
  <c r="AD34" i="3"/>
  <c r="K34" i="13" s="1"/>
  <c r="AC34" i="3"/>
  <c r="E34" i="13" s="1"/>
  <c r="AE33" i="3"/>
  <c r="L33" i="13" s="1"/>
  <c r="AD33" i="3"/>
  <c r="K33" i="13" s="1"/>
  <c r="AC33" i="3"/>
  <c r="E33" i="13" s="1"/>
  <c r="AE32" i="3"/>
  <c r="L32" i="13" s="1"/>
  <c r="AD32" i="3"/>
  <c r="K32" i="13" s="1"/>
  <c r="AC32" i="3"/>
  <c r="E32" i="13" s="1"/>
  <c r="AE31" i="3"/>
  <c r="L31" i="13" s="1"/>
  <c r="AD31" i="3"/>
  <c r="K31" i="13" s="1"/>
  <c r="AC31" i="3"/>
  <c r="E31" i="13" s="1"/>
  <c r="AE30" i="3"/>
  <c r="L30" i="13" s="1"/>
  <c r="AD30" i="3"/>
  <c r="AC30" i="3"/>
  <c r="E30" i="13" s="1"/>
  <c r="AE29" i="3"/>
  <c r="L29" i="13" s="1"/>
  <c r="AD29" i="3"/>
  <c r="AC29" i="3"/>
  <c r="E29" i="13" s="1"/>
  <c r="AE28" i="3"/>
  <c r="L28" i="13" s="1"/>
  <c r="AD28" i="3"/>
  <c r="K28" i="13" s="1"/>
  <c r="AC28" i="3"/>
  <c r="E28" i="13" s="1"/>
  <c r="AE27" i="3"/>
  <c r="L27" i="13" s="1"/>
  <c r="AD27" i="3"/>
  <c r="K27" i="13" s="1"/>
  <c r="AC27" i="3"/>
  <c r="E27" i="13" s="1"/>
  <c r="AE26" i="3"/>
  <c r="L26" i="13" s="1"/>
  <c r="AD26" i="3"/>
  <c r="K26" i="13" s="1"/>
  <c r="AC26" i="3"/>
  <c r="E26" i="13" s="1"/>
  <c r="AE25" i="3"/>
  <c r="L25" i="13" s="1"/>
  <c r="AD25" i="3"/>
  <c r="K25" i="13" s="1"/>
  <c r="AC25" i="3"/>
  <c r="E25" i="13" s="1"/>
  <c r="AE24" i="3"/>
  <c r="L24" i="13" s="1"/>
  <c r="AD24" i="3"/>
  <c r="AC24" i="3"/>
  <c r="E24" i="13" s="1"/>
  <c r="AE23" i="3"/>
  <c r="L23" i="13" s="1"/>
  <c r="AD23" i="3"/>
  <c r="AC23" i="3"/>
  <c r="E23" i="13" s="1"/>
  <c r="AE22" i="3"/>
  <c r="L22" i="13" s="1"/>
  <c r="AD22" i="3"/>
  <c r="K22" i="13" s="1"/>
  <c r="AC22" i="3"/>
  <c r="E22" i="13" s="1"/>
  <c r="AE21" i="3"/>
  <c r="L21" i="13" s="1"/>
  <c r="AD21" i="3"/>
  <c r="K21" i="13" s="1"/>
  <c r="AC21" i="3"/>
  <c r="E21" i="13" s="1"/>
  <c r="AE20" i="3"/>
  <c r="L20" i="13" s="1"/>
  <c r="AD20" i="3"/>
  <c r="K20" i="13" s="1"/>
  <c r="AC20" i="3"/>
  <c r="E20" i="13" s="1"/>
  <c r="AE19" i="3"/>
  <c r="L19" i="13" s="1"/>
  <c r="AD19" i="3"/>
  <c r="K19" i="13" s="1"/>
  <c r="AC19" i="3"/>
  <c r="E19" i="13" s="1"/>
  <c r="AE18" i="3"/>
  <c r="L18" i="13" s="1"/>
  <c r="AD18" i="3"/>
  <c r="K18" i="13" s="1"/>
  <c r="AC18" i="3"/>
  <c r="E18" i="13" s="1"/>
  <c r="AE17" i="3"/>
  <c r="L17" i="13" s="1"/>
  <c r="AD17" i="3"/>
  <c r="AC17" i="3"/>
  <c r="E17" i="13" s="1"/>
  <c r="AE16" i="3"/>
  <c r="L16" i="13" s="1"/>
  <c r="AD16" i="3"/>
  <c r="K16" i="13" s="1"/>
  <c r="AC16" i="3"/>
  <c r="E16" i="13" s="1"/>
  <c r="AE15" i="3"/>
  <c r="L15" i="13" s="1"/>
  <c r="AD15" i="3"/>
  <c r="K15" i="13" s="1"/>
  <c r="AC15" i="3"/>
  <c r="E15" i="13" s="1"/>
  <c r="AE14" i="3"/>
  <c r="L14" i="13" s="1"/>
  <c r="AD14" i="3"/>
  <c r="K14" i="13" s="1"/>
  <c r="AC14" i="3"/>
  <c r="E14" i="13" s="1"/>
  <c r="AE13" i="3"/>
  <c r="L13" i="13" s="1"/>
  <c r="AD13" i="3"/>
  <c r="K13" i="13" s="1"/>
  <c r="AC13" i="3"/>
  <c r="E13" i="13" s="1"/>
  <c r="AE12" i="3"/>
  <c r="L12" i="13" s="1"/>
  <c r="AD12" i="3"/>
  <c r="K12" i="13" s="1"/>
  <c r="AC12" i="3"/>
  <c r="E12" i="13" s="1"/>
  <c r="AE11" i="3"/>
  <c r="L11" i="13" s="1"/>
  <c r="AD11" i="3"/>
  <c r="K11" i="13" s="1"/>
  <c r="AC11" i="3"/>
  <c r="E11" i="13" s="1"/>
  <c r="AE10" i="3"/>
  <c r="L10" i="13" s="1"/>
  <c r="AD10" i="3"/>
  <c r="K10" i="13" s="1"/>
  <c r="AC10" i="3"/>
  <c r="E10" i="13" s="1"/>
  <c r="AE9" i="3"/>
  <c r="L9" i="13" s="1"/>
  <c r="AD9" i="3"/>
  <c r="K9" i="13" s="1"/>
  <c r="AC9" i="3"/>
  <c r="E9" i="13" s="1"/>
  <c r="AE8" i="3"/>
  <c r="L8" i="13" s="1"/>
  <c r="AD8" i="3"/>
  <c r="K8" i="13" s="1"/>
  <c r="AC8" i="3"/>
  <c r="E8" i="13" s="1"/>
  <c r="AE7" i="3"/>
  <c r="L7" i="13" s="1"/>
  <c r="AD7" i="3"/>
  <c r="K7" i="13" s="1"/>
  <c r="AC7" i="3"/>
  <c r="E7" i="13" s="1"/>
  <c r="AE6" i="3"/>
  <c r="L6" i="13" s="1"/>
  <c r="AD6" i="3"/>
  <c r="K6" i="13" s="1"/>
  <c r="AC6" i="3"/>
  <c r="E6" i="13" s="1"/>
  <c r="AE5" i="3"/>
  <c r="L5" i="13" s="1"/>
  <c r="AD5" i="3"/>
  <c r="K5" i="13" s="1"/>
  <c r="AC5" i="3"/>
  <c r="E5" i="13" s="1"/>
  <c r="AE4" i="3"/>
  <c r="L4" i="13" s="1"/>
  <c r="AD4" i="3"/>
  <c r="K4" i="13" s="1"/>
  <c r="AC4" i="3"/>
  <c r="E4" i="13" s="1"/>
  <c r="AE3" i="3"/>
  <c r="L3" i="13" s="1"/>
  <c r="AD3" i="3"/>
  <c r="K3" i="13" s="1"/>
  <c r="AC3" i="3"/>
  <c r="E3" i="13" s="1"/>
  <c r="G9" i="11" l="1"/>
  <c r="K96" i="9"/>
  <c r="C28" i="11"/>
  <c r="K29" i="9"/>
  <c r="H5" i="9"/>
  <c r="F20" i="9"/>
  <c r="H20" i="9" s="1"/>
  <c r="C22" i="11"/>
  <c r="K23" i="9"/>
  <c r="C9" i="11"/>
  <c r="K10" i="9"/>
  <c r="J15" i="9"/>
  <c r="K14" i="11" s="1"/>
  <c r="D14" i="11"/>
  <c r="F14" i="11"/>
  <c r="J58" i="9"/>
  <c r="L14" i="11" s="1"/>
  <c r="F57" i="9"/>
  <c r="H57" i="9" s="1"/>
  <c r="C27" i="11"/>
  <c r="K28" i="9"/>
  <c r="D3" i="11"/>
  <c r="J4" i="9"/>
  <c r="K3" i="11" s="1"/>
  <c r="C33" i="11"/>
  <c r="K34" i="9"/>
  <c r="J141" i="9"/>
  <c r="N11" i="11" s="1"/>
  <c r="J11" i="11"/>
  <c r="F9" i="9"/>
  <c r="H9" i="9" s="1"/>
  <c r="F27" i="11"/>
  <c r="J71" i="9"/>
  <c r="L27" i="11" s="1"/>
  <c r="F78" i="9"/>
  <c r="C16" i="11"/>
  <c r="K17" i="9"/>
  <c r="D8" i="11"/>
  <c r="J9" i="9"/>
  <c r="K8" i="11" s="1"/>
  <c r="F53" i="9"/>
  <c r="F65" i="9"/>
  <c r="E28" i="11"/>
  <c r="K72" i="9"/>
  <c r="I52" i="9"/>
  <c r="H52" i="9"/>
  <c r="F56" i="9"/>
  <c r="I57" i="9"/>
  <c r="E71" i="9"/>
  <c r="F71" i="9" s="1"/>
  <c r="F75" i="9"/>
  <c r="I82" i="9"/>
  <c r="H82" i="9"/>
  <c r="F93" i="9"/>
  <c r="I120" i="9"/>
  <c r="J128" i="9"/>
  <c r="M41" i="11" s="1"/>
  <c r="P41" i="11" s="1"/>
  <c r="H41" i="11"/>
  <c r="J3" i="11"/>
  <c r="J133" i="9"/>
  <c r="N3" i="11" s="1"/>
  <c r="J24" i="11"/>
  <c r="J154" i="9"/>
  <c r="N24" i="11" s="1"/>
  <c r="I162" i="9"/>
  <c r="H162" i="9"/>
  <c r="I40" i="11"/>
  <c r="K170" i="9"/>
  <c r="M17" i="13"/>
  <c r="C50" i="13" s="1"/>
  <c r="I104" i="9"/>
  <c r="I13" i="13"/>
  <c r="I143" i="9"/>
  <c r="I17" i="13"/>
  <c r="I61" i="9"/>
  <c r="I37" i="13"/>
  <c r="I167" i="9"/>
  <c r="E49" i="9"/>
  <c r="F49" i="9" s="1"/>
  <c r="D6" i="9"/>
  <c r="F6" i="9" s="1"/>
  <c r="E73" i="9"/>
  <c r="F73" i="9" s="1"/>
  <c r="D30" i="9"/>
  <c r="F30" i="9" s="1"/>
  <c r="H30" i="9" s="1"/>
  <c r="J5" i="9"/>
  <c r="K4" i="11" s="1"/>
  <c r="I11" i="9"/>
  <c r="I16" i="9"/>
  <c r="D25" i="9"/>
  <c r="J35" i="9"/>
  <c r="K34" i="11" s="1"/>
  <c r="C36" i="11"/>
  <c r="K37" i="9"/>
  <c r="I47" i="9"/>
  <c r="H47" i="9"/>
  <c r="J50" i="9"/>
  <c r="L6" i="11" s="1"/>
  <c r="E25" i="11"/>
  <c r="K69" i="9"/>
  <c r="E77" i="9"/>
  <c r="F77" i="9" s="1"/>
  <c r="E36" i="11"/>
  <c r="K80" i="9"/>
  <c r="F107" i="9"/>
  <c r="H107" i="9" s="1"/>
  <c r="I111" i="9"/>
  <c r="I116" i="9"/>
  <c r="I3" i="11"/>
  <c r="K133" i="9"/>
  <c r="I152" i="9"/>
  <c r="K158" i="9"/>
  <c r="I30" i="9"/>
  <c r="K29" i="13"/>
  <c r="D15" i="9"/>
  <c r="F15" i="9" s="1"/>
  <c r="I21" i="9"/>
  <c r="D27" i="9"/>
  <c r="F27" i="9" s="1"/>
  <c r="H27" i="9" s="1"/>
  <c r="I32" i="9"/>
  <c r="H32" i="9"/>
  <c r="F41" i="9"/>
  <c r="F43" i="9"/>
  <c r="I54" i="9"/>
  <c r="F15" i="11"/>
  <c r="J59" i="9"/>
  <c r="L15" i="11" s="1"/>
  <c r="F29" i="11"/>
  <c r="J73" i="9"/>
  <c r="L29" i="11" s="1"/>
  <c r="E86" i="9"/>
  <c r="F86" i="9" s="1"/>
  <c r="I97" i="9"/>
  <c r="I99" i="9"/>
  <c r="H99" i="9"/>
  <c r="F121" i="9"/>
  <c r="I126" i="9"/>
  <c r="H126" i="9"/>
  <c r="F129" i="9"/>
  <c r="E137" i="9"/>
  <c r="F137" i="9" s="1"/>
  <c r="F159" i="9"/>
  <c r="J164" i="9"/>
  <c r="N34" i="11" s="1"/>
  <c r="K6" i="12"/>
  <c r="J6" i="12"/>
  <c r="K17" i="13"/>
  <c r="I18" i="9"/>
  <c r="M5" i="13"/>
  <c r="I92" i="9"/>
  <c r="K30" i="13"/>
  <c r="I31" i="9"/>
  <c r="E135" i="9"/>
  <c r="D92" i="9"/>
  <c r="F92" i="9" s="1"/>
  <c r="H92" i="9" s="1"/>
  <c r="E138" i="9"/>
  <c r="D95" i="9"/>
  <c r="F95" i="9" s="1"/>
  <c r="E147" i="9"/>
  <c r="F147" i="9" s="1"/>
  <c r="E150" i="9"/>
  <c r="D110" i="9"/>
  <c r="E153" i="9"/>
  <c r="F153" i="9" s="1"/>
  <c r="D113" i="9"/>
  <c r="F113" i="9" s="1"/>
  <c r="E156" i="9"/>
  <c r="F156" i="9" s="1"/>
  <c r="E159" i="9"/>
  <c r="E162" i="9"/>
  <c r="D122" i="9"/>
  <c r="F122" i="9" s="1"/>
  <c r="E165" i="9"/>
  <c r="F165" i="9" s="1"/>
  <c r="E168" i="9"/>
  <c r="D128" i="9"/>
  <c r="E171" i="9"/>
  <c r="F171" i="9" s="1"/>
  <c r="O6" i="13"/>
  <c r="H18" i="9"/>
  <c r="I23" i="9"/>
  <c r="I34" i="9"/>
  <c r="I49" i="9"/>
  <c r="F51" i="9"/>
  <c r="H54" i="9"/>
  <c r="K59" i="9"/>
  <c r="E61" i="9"/>
  <c r="F61" i="9" s="1"/>
  <c r="H61" i="9" s="1"/>
  <c r="J64" i="9"/>
  <c r="L20" i="11" s="1"/>
  <c r="J69" i="9"/>
  <c r="L25" i="11" s="1"/>
  <c r="H73" i="9"/>
  <c r="I75" i="9"/>
  <c r="H75" i="9"/>
  <c r="E79" i="9"/>
  <c r="F79" i="9" s="1"/>
  <c r="F42" i="11"/>
  <c r="J86" i="9"/>
  <c r="L42" i="11" s="1"/>
  <c r="I101" i="9"/>
  <c r="H103" i="9"/>
  <c r="D107" i="9"/>
  <c r="I109" i="9"/>
  <c r="H109" i="9"/>
  <c r="F112" i="9"/>
  <c r="J118" i="9"/>
  <c r="M31" i="11" s="1"/>
  <c r="P31" i="11" s="1"/>
  <c r="I124" i="9"/>
  <c r="H124" i="9"/>
  <c r="F127" i="9"/>
  <c r="E143" i="9"/>
  <c r="F143" i="9" s="1"/>
  <c r="H143" i="9" s="1"/>
  <c r="C42" i="11"/>
  <c r="I30" i="13"/>
  <c r="H74" i="9"/>
  <c r="I38" i="13"/>
  <c r="D6" i="11"/>
  <c r="Q6" i="13" s="1"/>
  <c r="J7" i="9"/>
  <c r="K6" i="11" s="1"/>
  <c r="D9" i="9"/>
  <c r="I39" i="9"/>
  <c r="C40" i="11"/>
  <c r="K41" i="9"/>
  <c r="H49" i="9"/>
  <c r="E63" i="9"/>
  <c r="F63" i="9" s="1"/>
  <c r="E66" i="9"/>
  <c r="F66" i="9" s="1"/>
  <c r="H66" i="9" s="1"/>
  <c r="F70" i="9"/>
  <c r="F74" i="9"/>
  <c r="I91" i="9"/>
  <c r="G6" i="11"/>
  <c r="P6" i="13" s="1"/>
  <c r="K93" i="9"/>
  <c r="I95" i="9"/>
  <c r="H95" i="9"/>
  <c r="I103" i="9"/>
  <c r="I105" i="9"/>
  <c r="H105" i="9"/>
  <c r="I107" i="9"/>
  <c r="J137" i="9"/>
  <c r="N7" i="11" s="1"/>
  <c r="J7" i="11"/>
  <c r="E161" i="9"/>
  <c r="F161" i="9" s="1"/>
  <c r="J36" i="11"/>
  <c r="J166" i="9"/>
  <c r="N36" i="11" s="1"/>
  <c r="D4" i="9"/>
  <c r="F4" i="9" s="1"/>
  <c r="H4" i="9" s="1"/>
  <c r="E47" i="9"/>
  <c r="F47" i="9" s="1"/>
  <c r="E59" i="9"/>
  <c r="D16" i="9"/>
  <c r="F16" i="9" s="1"/>
  <c r="H16" i="9" s="1"/>
  <c r="D22" i="9"/>
  <c r="F22" i="9" s="1"/>
  <c r="H22" i="9" s="1"/>
  <c r="E65" i="9"/>
  <c r="E83" i="9"/>
  <c r="F83" i="9" s="1"/>
  <c r="D40" i="9"/>
  <c r="F40" i="9" s="1"/>
  <c r="I20" i="9"/>
  <c r="H36" i="9"/>
  <c r="E53" i="9"/>
  <c r="F55" i="9"/>
  <c r="H55" i="9" s="1"/>
  <c r="K56" i="9"/>
  <c r="E12" i="11"/>
  <c r="I68" i="9"/>
  <c r="F72" i="9"/>
  <c r="F76" i="9"/>
  <c r="F33" i="11"/>
  <c r="J77" i="9"/>
  <c r="L33" i="11" s="1"/>
  <c r="F98" i="9"/>
  <c r="H98" i="9" s="1"/>
  <c r="I112" i="9"/>
  <c r="H112" i="9"/>
  <c r="I114" i="9"/>
  <c r="G34" i="11"/>
  <c r="P34" i="13" s="1"/>
  <c r="K121" i="9"/>
  <c r="F142" i="9"/>
  <c r="E149" i="9"/>
  <c r="F149" i="9" s="1"/>
  <c r="I25" i="11"/>
  <c r="K155" i="9"/>
  <c r="I157" i="9"/>
  <c r="H157" i="9"/>
  <c r="K27" i="12"/>
  <c r="J27" i="12"/>
  <c r="K35" i="13"/>
  <c r="H6" i="9"/>
  <c r="H15" i="9"/>
  <c r="I22" i="9"/>
  <c r="D31" i="9"/>
  <c r="F31" i="9" s="1"/>
  <c r="H31" i="9" s="1"/>
  <c r="D33" i="9"/>
  <c r="F33" i="9" s="1"/>
  <c r="H33" i="9" s="1"/>
  <c r="J36" i="9"/>
  <c r="K35" i="11" s="1"/>
  <c r="O35" i="11" s="1"/>
  <c r="J41" i="9"/>
  <c r="K40" i="11" s="1"/>
  <c r="O40" i="11" s="1"/>
  <c r="E48" i="9"/>
  <c r="F48" i="9" s="1"/>
  <c r="H48" i="9" s="1"/>
  <c r="F50" i="9"/>
  <c r="I51" i="9"/>
  <c r="H51" i="9"/>
  <c r="H58" i="9"/>
  <c r="E19" i="11"/>
  <c r="K63" i="9"/>
  <c r="H68" i="9"/>
  <c r="I81" i="9"/>
  <c r="H81" i="9"/>
  <c r="E39" i="11"/>
  <c r="K83" i="9"/>
  <c r="P6" i="11"/>
  <c r="F104" i="9"/>
  <c r="H104" i="9" s="1"/>
  <c r="F106" i="9"/>
  <c r="H106" i="9" s="1"/>
  <c r="F110" i="9"/>
  <c r="F119" i="9"/>
  <c r="F144" i="9"/>
  <c r="J15" i="11"/>
  <c r="J145" i="9"/>
  <c r="N15" i="11" s="1"/>
  <c r="P15" i="11" s="1"/>
  <c r="I147" i="9"/>
  <c r="H147" i="9"/>
  <c r="I31" i="11"/>
  <c r="P31" i="13" s="1"/>
  <c r="K161" i="9"/>
  <c r="J39" i="11"/>
  <c r="J169" i="9"/>
  <c r="N39" i="11" s="1"/>
  <c r="C12" i="11"/>
  <c r="D102" i="9"/>
  <c r="F102" i="9" s="1"/>
  <c r="E145" i="9"/>
  <c r="F145" i="9" s="1"/>
  <c r="E148" i="9"/>
  <c r="F148" i="9" s="1"/>
  <c r="D105" i="9"/>
  <c r="F105" i="9" s="1"/>
  <c r="E151" i="9"/>
  <c r="F151" i="9" s="1"/>
  <c r="D108" i="9"/>
  <c r="F108" i="9" s="1"/>
  <c r="H108" i="9" s="1"/>
  <c r="D114" i="9"/>
  <c r="F114" i="9" s="1"/>
  <c r="H114" i="9" s="1"/>
  <c r="E157" i="9"/>
  <c r="F157" i="9" s="1"/>
  <c r="D120" i="9"/>
  <c r="E163" i="9"/>
  <c r="F163" i="9" s="1"/>
  <c r="I6" i="9"/>
  <c r="I12" i="9"/>
  <c r="I27" i="9"/>
  <c r="I38" i="9"/>
  <c r="H38" i="9"/>
  <c r="E60" i="9"/>
  <c r="F60" i="9" s="1"/>
  <c r="F62" i="9"/>
  <c r="I70" i="9"/>
  <c r="H70" i="9"/>
  <c r="E72" i="9"/>
  <c r="F39" i="11"/>
  <c r="J83" i="9"/>
  <c r="L39" i="11" s="1"/>
  <c r="O39" i="11" s="1"/>
  <c r="E85" i="9"/>
  <c r="F85" i="9" s="1"/>
  <c r="F94" i="9"/>
  <c r="H94" i="9" s="1"/>
  <c r="H110" i="9"/>
  <c r="I110" i="9"/>
  <c r="I117" i="9"/>
  <c r="H117" i="9"/>
  <c r="P34" i="11"/>
  <c r="F125" i="9"/>
  <c r="H125" i="9" s="1"/>
  <c r="I153" i="9"/>
  <c r="H153" i="9"/>
  <c r="K169" i="9"/>
  <c r="I39" i="11"/>
  <c r="E20" i="11"/>
  <c r="AH5" i="12"/>
  <c r="AG5" i="12"/>
  <c r="E136" i="9"/>
  <c r="F136" i="9" s="1"/>
  <c r="D93" i="9"/>
  <c r="E139" i="9"/>
  <c r="F139" i="9" s="1"/>
  <c r="D96" i="9"/>
  <c r="F96" i="9" s="1"/>
  <c r="E160" i="9"/>
  <c r="D117" i="9"/>
  <c r="F117" i="9" s="1"/>
  <c r="D19" i="9"/>
  <c r="F19" i="9" s="1"/>
  <c r="H24" i="9"/>
  <c r="I29" i="9"/>
  <c r="E9" i="11"/>
  <c r="K53" i="9"/>
  <c r="E55" i="9"/>
  <c r="J63" i="9"/>
  <c r="L19" i="11" s="1"/>
  <c r="I72" i="9"/>
  <c r="I76" i="9"/>
  <c r="H76" i="9"/>
  <c r="F80" i="9"/>
  <c r="F84" i="9"/>
  <c r="I100" i="9"/>
  <c r="H100" i="9"/>
  <c r="H119" i="9"/>
  <c r="I119" i="9"/>
  <c r="H40" i="11"/>
  <c r="J127" i="9"/>
  <c r="M40" i="11" s="1"/>
  <c r="P40" i="11" s="1"/>
  <c r="H140" i="9"/>
  <c r="K151" i="9"/>
  <c r="I21" i="11"/>
  <c r="F154" i="9"/>
  <c r="H154" i="9" s="1"/>
  <c r="F160" i="9"/>
  <c r="F164" i="9"/>
  <c r="J40" i="11"/>
  <c r="AB22" i="12"/>
  <c r="AC22" i="12"/>
  <c r="I27" i="13"/>
  <c r="H71" i="9"/>
  <c r="K24" i="13"/>
  <c r="I25" i="9"/>
  <c r="E51" i="9"/>
  <c r="E54" i="9"/>
  <c r="F54" i="9" s="1"/>
  <c r="E57" i="9"/>
  <c r="E69" i="9"/>
  <c r="F69" i="9" s="1"/>
  <c r="E75" i="9"/>
  <c r="E78" i="9"/>
  <c r="E81" i="9"/>
  <c r="F81" i="9" s="1"/>
  <c r="D11" i="9"/>
  <c r="F11" i="9" s="1"/>
  <c r="H11" i="9" s="1"/>
  <c r="I17" i="9"/>
  <c r="D21" i="9"/>
  <c r="F21" i="9" s="1"/>
  <c r="H21" i="9" s="1"/>
  <c r="C25" i="11"/>
  <c r="K26" i="9"/>
  <c r="D35" i="9"/>
  <c r="F35" i="9" s="1"/>
  <c r="H40" i="9"/>
  <c r="F9" i="11"/>
  <c r="J53" i="9"/>
  <c r="L9" i="11" s="1"/>
  <c r="O9" i="11" s="1"/>
  <c r="I74" i="9"/>
  <c r="K85" i="9"/>
  <c r="E41" i="11"/>
  <c r="I115" i="9"/>
  <c r="F120" i="9"/>
  <c r="H120" i="9" s="1"/>
  <c r="H36" i="11"/>
  <c r="J123" i="9"/>
  <c r="M36" i="11" s="1"/>
  <c r="P36" i="11" s="1"/>
  <c r="F128" i="9"/>
  <c r="F135" i="9"/>
  <c r="H135" i="9" s="1"/>
  <c r="J136" i="9"/>
  <c r="N6" i="11" s="1"/>
  <c r="J6" i="11"/>
  <c r="I140" i="9"/>
  <c r="F162" i="9"/>
  <c r="H167" i="9"/>
  <c r="I14" i="13"/>
  <c r="H144" i="9"/>
  <c r="K23" i="13"/>
  <c r="I24" i="9"/>
  <c r="I11" i="13"/>
  <c r="H141" i="9"/>
  <c r="I4" i="13"/>
  <c r="I134" i="9"/>
  <c r="I8" i="13"/>
  <c r="C49" i="13" s="1"/>
  <c r="H138" i="9"/>
  <c r="I24" i="13"/>
  <c r="I28" i="13"/>
  <c r="I158" i="9"/>
  <c r="F7" i="9"/>
  <c r="F13" i="9"/>
  <c r="I14" i="9"/>
  <c r="H14" i="9"/>
  <c r="D37" i="9"/>
  <c r="F37" i="9" s="1"/>
  <c r="O41" i="13"/>
  <c r="I48" i="9"/>
  <c r="I55" i="9"/>
  <c r="F59" i="9"/>
  <c r="F18" i="11"/>
  <c r="J62" i="9"/>
  <c r="L18" i="11" s="1"/>
  <c r="F64" i="9"/>
  <c r="E67" i="9"/>
  <c r="F67" i="9" s="1"/>
  <c r="H67" i="9" s="1"/>
  <c r="F34" i="11"/>
  <c r="J78" i="9"/>
  <c r="L34" i="11" s="1"/>
  <c r="I90" i="9"/>
  <c r="H90" i="9"/>
  <c r="I94" i="9"/>
  <c r="H9" i="11"/>
  <c r="J96" i="9"/>
  <c r="M9" i="11" s="1"/>
  <c r="F99" i="9"/>
  <c r="F101" i="9"/>
  <c r="H101" i="9" s="1"/>
  <c r="F111" i="9"/>
  <c r="H111" i="9" s="1"/>
  <c r="F116" i="9"/>
  <c r="H116" i="9" s="1"/>
  <c r="I125" i="9"/>
  <c r="E146" i="9"/>
  <c r="F146" i="9" s="1"/>
  <c r="E158" i="9"/>
  <c r="F158" i="9" s="1"/>
  <c r="E164" i="9"/>
  <c r="F168" i="9"/>
  <c r="H168" i="9" s="1"/>
  <c r="M11" i="13"/>
  <c r="I98" i="9"/>
  <c r="E134" i="9"/>
  <c r="F134" i="9" s="1"/>
  <c r="H134" i="9" s="1"/>
  <c r="E140" i="9"/>
  <c r="F140" i="9" s="1"/>
  <c r="E152" i="9"/>
  <c r="E155" i="9"/>
  <c r="F155" i="9" s="1"/>
  <c r="E167" i="9"/>
  <c r="F167" i="9" s="1"/>
  <c r="I8" i="9"/>
  <c r="H8" i="9"/>
  <c r="K19" i="9"/>
  <c r="C18" i="11"/>
  <c r="F25" i="9"/>
  <c r="H25" i="9" s="1"/>
  <c r="O25" i="11"/>
  <c r="I28" i="9"/>
  <c r="I33" i="9"/>
  <c r="C34" i="11"/>
  <c r="K35" i="9"/>
  <c r="D39" i="9"/>
  <c r="F39" i="9" s="1"/>
  <c r="H39" i="9" s="1"/>
  <c r="H62" i="9"/>
  <c r="I67" i="9"/>
  <c r="H78" i="9"/>
  <c r="K102" i="9"/>
  <c r="I106" i="9"/>
  <c r="I108" i="9"/>
  <c r="I113" i="9"/>
  <c r="H113" i="9"/>
  <c r="E133" i="9"/>
  <c r="F133" i="9" s="1"/>
  <c r="F152" i="9"/>
  <c r="H152" i="9" s="1"/>
  <c r="H160" i="9"/>
  <c r="I160" i="9"/>
  <c r="F166" i="9"/>
  <c r="AH13" i="12"/>
  <c r="D123" i="9"/>
  <c r="F123" i="9" s="1"/>
  <c r="I19" i="11"/>
  <c r="K149" i="9"/>
  <c r="J33" i="11"/>
  <c r="J163" i="9"/>
  <c r="N33" i="11" s="1"/>
  <c r="I7" i="11"/>
  <c r="Q22" i="12"/>
  <c r="P22" i="12"/>
  <c r="AC28" i="12"/>
  <c r="AB28" i="12"/>
  <c r="F115" i="9"/>
  <c r="H115" i="9" s="1"/>
  <c r="P40" i="13"/>
  <c r="J21" i="11"/>
  <c r="J151" i="9"/>
  <c r="N21" i="11" s="1"/>
  <c r="K163" i="9"/>
  <c r="I33" i="11"/>
  <c r="J42" i="11"/>
  <c r="J172" i="9"/>
  <c r="N42" i="11" s="1"/>
  <c r="AC10" i="12"/>
  <c r="F118" i="9"/>
  <c r="F150" i="9"/>
  <c r="AB16" i="12"/>
  <c r="AC16" i="12"/>
  <c r="I66" i="9"/>
  <c r="K77" i="9"/>
  <c r="D97" i="9"/>
  <c r="F97" i="9" s="1"/>
  <c r="P36" i="13"/>
  <c r="K127" i="9"/>
  <c r="F138" i="9"/>
  <c r="I148" i="9"/>
  <c r="K166" i="9"/>
  <c r="I9" i="11"/>
  <c r="AB39" i="12"/>
  <c r="AC39" i="12"/>
  <c r="D91" i="9"/>
  <c r="F91" i="9" s="1"/>
  <c r="H91" i="9" s="1"/>
  <c r="P35" i="13"/>
  <c r="K142" i="9"/>
  <c r="K148" i="9"/>
  <c r="J20" i="11"/>
  <c r="J150" i="9"/>
  <c r="N20" i="11" s="1"/>
  <c r="I42" i="11"/>
  <c r="P42" i="13" s="1"/>
  <c r="Q19" i="12"/>
  <c r="P19" i="12"/>
  <c r="E170" i="9"/>
  <c r="F170" i="9" s="1"/>
  <c r="H12" i="9"/>
  <c r="J13" i="9"/>
  <c r="K12" i="11" s="1"/>
  <c r="O12" i="11" s="1"/>
  <c r="J19" i="9"/>
  <c r="K18" i="11" s="1"/>
  <c r="O18" i="11" s="1"/>
  <c r="J43" i="9"/>
  <c r="K42" i="11" s="1"/>
  <c r="J80" i="9"/>
  <c r="L36" i="11" s="1"/>
  <c r="O36" i="11" s="1"/>
  <c r="H97" i="9"/>
  <c r="I138" i="9"/>
  <c r="J35" i="11"/>
  <c r="J165" i="9"/>
  <c r="N35" i="11" s="1"/>
  <c r="P35" i="11" s="1"/>
  <c r="I15" i="11"/>
  <c r="P15" i="13" s="1"/>
  <c r="K79" i="9"/>
  <c r="E35" i="11"/>
  <c r="F109" i="9"/>
  <c r="I135" i="9"/>
  <c r="I159" i="9"/>
  <c r="H159" i="9"/>
  <c r="AH14" i="12"/>
  <c r="AG14" i="12"/>
  <c r="H42" i="11"/>
  <c r="J129" i="9"/>
  <c r="M42" i="11" s="1"/>
  <c r="P42" i="11" s="1"/>
  <c r="I144" i="9"/>
  <c r="J26" i="11"/>
  <c r="J156" i="9"/>
  <c r="N26" i="11" s="1"/>
  <c r="I168" i="9"/>
  <c r="P6" i="12"/>
  <c r="P8" i="12"/>
  <c r="J11" i="12"/>
  <c r="AH16" i="12"/>
  <c r="AG16" i="12"/>
  <c r="P18" i="12"/>
  <c r="P35" i="12"/>
  <c r="Q35" i="12"/>
  <c r="K8" i="12"/>
  <c r="AH11" i="12"/>
  <c r="AG11" i="12"/>
  <c r="J22" i="12"/>
  <c r="Q33" i="12"/>
  <c r="P33" i="12"/>
  <c r="J39" i="12"/>
  <c r="P41" i="12"/>
  <c r="Q41" i="12"/>
  <c r="T3" i="13"/>
  <c r="C55" i="11"/>
  <c r="C54" i="11"/>
  <c r="P14" i="12"/>
  <c r="Q14" i="12"/>
  <c r="Q16" i="12"/>
  <c r="P16" i="12"/>
  <c r="AH22" i="12"/>
  <c r="AG22" i="12"/>
  <c r="P24" i="12"/>
  <c r="Q24" i="12"/>
  <c r="J38" i="12"/>
  <c r="H171" i="9"/>
  <c r="C56" i="11"/>
  <c r="Q12" i="12"/>
  <c r="P13" i="12"/>
  <c r="K16" i="12"/>
  <c r="AH31" i="12"/>
  <c r="AG31" i="12"/>
  <c r="K33" i="12"/>
  <c r="J33" i="12"/>
  <c r="J139" i="9"/>
  <c r="N9" i="11" s="1"/>
  <c r="K14" i="12"/>
  <c r="AB27" i="12"/>
  <c r="J29" i="12"/>
  <c r="J30" i="12"/>
  <c r="K32" i="12"/>
  <c r="J34" i="12"/>
  <c r="K11" i="12"/>
  <c r="Q39" i="12"/>
  <c r="P39" i="12"/>
  <c r="J21" i="12"/>
  <c r="P3" i="12"/>
  <c r="J7" i="12"/>
  <c r="J8" i="12"/>
  <c r="J19" i="12"/>
  <c r="AC21" i="12"/>
  <c r="K29" i="12"/>
  <c r="K30" i="12"/>
  <c r="AH37" i="12"/>
  <c r="K39" i="12"/>
  <c r="K4" i="12"/>
  <c r="K5" i="12"/>
  <c r="J12" i="12"/>
  <c r="AB13" i="12"/>
  <c r="AC13" i="12"/>
  <c r="AH20" i="12"/>
  <c r="AG20" i="12"/>
  <c r="K23" i="12"/>
  <c r="AH25" i="12"/>
  <c r="J31" i="12"/>
  <c r="AG36" i="12"/>
  <c r="K40" i="12"/>
  <c r="AC40" i="12"/>
  <c r="AB40" i="12"/>
  <c r="J37" i="12"/>
  <c r="P11" i="12"/>
  <c r="AB19" i="12"/>
  <c r="AB25" i="12"/>
  <c r="J35" i="12"/>
  <c r="AH42" i="12"/>
  <c r="J14" i="12"/>
  <c r="P17" i="12"/>
  <c r="P23" i="12"/>
  <c r="Q30" i="12"/>
  <c r="P30" i="12"/>
  <c r="P32" i="12"/>
  <c r="AB36" i="12"/>
  <c r="C47" i="13"/>
  <c r="J20" i="12"/>
  <c r="J26" i="12"/>
  <c r="AC37" i="12"/>
  <c r="AB37" i="12"/>
  <c r="Q42" i="12"/>
  <c r="P42" i="12"/>
  <c r="C46" i="13"/>
  <c r="AH36" i="12"/>
  <c r="J41" i="12"/>
  <c r="C48" i="13"/>
  <c r="P20" i="12"/>
  <c r="P26" i="12"/>
  <c r="AG27" i="12"/>
  <c r="AC31" i="12"/>
  <c r="AB31" i="12"/>
  <c r="C44" i="14"/>
  <c r="J17" i="12"/>
  <c r="Q20" i="12"/>
  <c r="J23" i="12"/>
  <c r="Q26" i="12"/>
  <c r="AG26" i="12"/>
  <c r="AH27" i="12"/>
  <c r="AC30" i="12"/>
  <c r="J32" i="12"/>
  <c r="Q36" i="12"/>
  <c r="P36" i="12"/>
  <c r="P37" i="12"/>
  <c r="P38" i="12"/>
  <c r="AG39" i="12"/>
  <c r="AB12" i="12"/>
  <c r="AG28" i="12"/>
  <c r="Q38" i="12"/>
  <c r="AG38" i="12"/>
  <c r="AH39" i="12"/>
  <c r="AC42" i="12"/>
  <c r="AB18" i="12"/>
  <c r="AB24" i="12"/>
  <c r="Q27" i="12"/>
  <c r="P27" i="12"/>
  <c r="P29" i="12"/>
  <c r="G7" i="11" l="1"/>
  <c r="P7" i="13" s="1"/>
  <c r="K94" i="9"/>
  <c r="E22" i="11"/>
  <c r="K66" i="9"/>
  <c r="C8" i="11"/>
  <c r="K9" i="9"/>
  <c r="I13" i="11"/>
  <c r="K143" i="9"/>
  <c r="G20" i="11"/>
  <c r="P20" i="13" s="1"/>
  <c r="K107" i="9"/>
  <c r="K67" i="9"/>
  <c r="E23" i="11"/>
  <c r="E4" i="11"/>
  <c r="K48" i="9"/>
  <c r="G4" i="11"/>
  <c r="K91" i="9"/>
  <c r="K115" i="9"/>
  <c r="G28" i="11"/>
  <c r="P28" i="13" s="1"/>
  <c r="G29" i="11"/>
  <c r="P29" i="13" s="1"/>
  <c r="K116" i="9"/>
  <c r="C29" i="11"/>
  <c r="K30" i="9"/>
  <c r="I22" i="11"/>
  <c r="K152" i="9"/>
  <c r="I24" i="11"/>
  <c r="K154" i="9"/>
  <c r="C3" i="11"/>
  <c r="K4" i="9"/>
  <c r="C30" i="11"/>
  <c r="K31" i="9"/>
  <c r="C19" i="11"/>
  <c r="K20" i="9"/>
  <c r="I4" i="11"/>
  <c r="K134" i="9"/>
  <c r="K55" i="9"/>
  <c r="E11" i="11"/>
  <c r="K61" i="9"/>
  <c r="E17" i="11"/>
  <c r="G5" i="11"/>
  <c r="K92" i="9"/>
  <c r="G24" i="11"/>
  <c r="K111" i="9"/>
  <c r="G27" i="11"/>
  <c r="P27" i="13" s="1"/>
  <c r="K114" i="9"/>
  <c r="G21" i="11"/>
  <c r="P21" i="13" s="1"/>
  <c r="K108" i="9"/>
  <c r="I5" i="11"/>
  <c r="K135" i="9"/>
  <c r="K57" i="9"/>
  <c r="E13" i="11"/>
  <c r="I38" i="11"/>
  <c r="K168" i="9"/>
  <c r="J144" i="9"/>
  <c r="N14" i="11" s="1"/>
  <c r="J14" i="11"/>
  <c r="J48" i="9"/>
  <c r="L4" i="11" s="1"/>
  <c r="O4" i="11" s="1"/>
  <c r="F4" i="11"/>
  <c r="K138" i="9"/>
  <c r="I8" i="11"/>
  <c r="I37" i="11"/>
  <c r="K167" i="9"/>
  <c r="J115" i="9"/>
  <c r="M28" i="11" s="1"/>
  <c r="P28" i="11" s="1"/>
  <c r="H28" i="11"/>
  <c r="D16" i="11"/>
  <c r="J17" i="9"/>
  <c r="K16" i="11" s="1"/>
  <c r="O16" i="11" s="1"/>
  <c r="E24" i="11"/>
  <c r="K68" i="9"/>
  <c r="G22" i="11"/>
  <c r="P22" i="13" s="1"/>
  <c r="K109" i="9"/>
  <c r="K73" i="9"/>
  <c r="E29" i="11"/>
  <c r="H12" i="11"/>
  <c r="Q12" i="13" s="1"/>
  <c r="J99" i="9"/>
  <c r="M12" i="11" s="1"/>
  <c r="P12" i="11" s="1"/>
  <c r="D31" i="11"/>
  <c r="J32" i="9"/>
  <c r="K31" i="11" s="1"/>
  <c r="F8" i="11"/>
  <c r="J52" i="9"/>
  <c r="L8" i="11" s="1"/>
  <c r="O8" i="11" s="1"/>
  <c r="Q9" i="13"/>
  <c r="O9" i="13"/>
  <c r="K78" i="9"/>
  <c r="E34" i="11"/>
  <c r="O34" i="13" s="1"/>
  <c r="C7" i="11"/>
  <c r="K8" i="9"/>
  <c r="H7" i="11"/>
  <c r="J94" i="9"/>
  <c r="M7" i="11" s="1"/>
  <c r="P7" i="11" s="1"/>
  <c r="C10" i="11"/>
  <c r="K11" i="9"/>
  <c r="J119" i="9"/>
  <c r="M32" i="11" s="1"/>
  <c r="H32" i="11"/>
  <c r="G30" i="11"/>
  <c r="K117" i="9"/>
  <c r="D21" i="11"/>
  <c r="J22" i="9"/>
  <c r="K21" i="11" s="1"/>
  <c r="O21" i="11" s="1"/>
  <c r="J109" i="9"/>
  <c r="M22" i="11" s="1"/>
  <c r="H22" i="11"/>
  <c r="H10" i="11"/>
  <c r="J97" i="9"/>
  <c r="M10" i="11" s="1"/>
  <c r="P10" i="11" s="1"/>
  <c r="C26" i="11"/>
  <c r="K27" i="9"/>
  <c r="F23" i="11"/>
  <c r="J67" i="9"/>
  <c r="L23" i="11" s="1"/>
  <c r="D7" i="11"/>
  <c r="J8" i="9"/>
  <c r="K7" i="11" s="1"/>
  <c r="G3" i="11"/>
  <c r="P3" i="13" s="1"/>
  <c r="K90" i="9"/>
  <c r="J4" i="11"/>
  <c r="J134" i="9"/>
  <c r="N4" i="11" s="1"/>
  <c r="C49" i="11" s="1"/>
  <c r="J140" i="9"/>
  <c r="N10" i="11" s="1"/>
  <c r="J10" i="11"/>
  <c r="G32" i="11"/>
  <c r="K119" i="9"/>
  <c r="H30" i="11"/>
  <c r="J117" i="9"/>
  <c r="M30" i="11" s="1"/>
  <c r="C37" i="11"/>
  <c r="K38" i="9"/>
  <c r="F24" i="11"/>
  <c r="J68" i="9"/>
  <c r="L24" i="11" s="1"/>
  <c r="C21" i="11"/>
  <c r="K22" i="9"/>
  <c r="H20" i="11"/>
  <c r="J107" i="9"/>
  <c r="M20" i="11" s="1"/>
  <c r="P20" i="11" s="1"/>
  <c r="D20" i="11"/>
  <c r="J21" i="9"/>
  <c r="K20" i="11" s="1"/>
  <c r="O20" i="11" s="1"/>
  <c r="J116" i="9"/>
  <c r="M29" i="11" s="1"/>
  <c r="H29" i="11"/>
  <c r="K82" i="9"/>
  <c r="E38" i="11"/>
  <c r="J30" i="11"/>
  <c r="J160" i="9"/>
  <c r="N30" i="11" s="1"/>
  <c r="E18" i="11"/>
  <c r="Q18" i="13" s="1"/>
  <c r="K62" i="9"/>
  <c r="H38" i="11"/>
  <c r="J125" i="9"/>
  <c r="M38" i="11" s="1"/>
  <c r="H3" i="11"/>
  <c r="J90" i="9"/>
  <c r="M3" i="11" s="1"/>
  <c r="F30" i="11"/>
  <c r="J74" i="9"/>
  <c r="L30" i="11" s="1"/>
  <c r="J110" i="9"/>
  <c r="M23" i="11" s="1"/>
  <c r="H23" i="11"/>
  <c r="D37" i="11"/>
  <c r="J38" i="9"/>
  <c r="K37" i="11" s="1"/>
  <c r="O37" i="11" s="1"/>
  <c r="K15" i="9"/>
  <c r="C14" i="11"/>
  <c r="C15" i="11"/>
  <c r="K16" i="9"/>
  <c r="G18" i="11"/>
  <c r="P18" i="13" s="1"/>
  <c r="K105" i="9"/>
  <c r="E30" i="11"/>
  <c r="K74" i="9"/>
  <c r="K103" i="9"/>
  <c r="G16" i="11"/>
  <c r="P16" i="13" s="1"/>
  <c r="K47" i="9"/>
  <c r="E3" i="11"/>
  <c r="I32" i="11"/>
  <c r="K162" i="9"/>
  <c r="F38" i="11"/>
  <c r="J82" i="9"/>
  <c r="L38" i="11" s="1"/>
  <c r="I41" i="11"/>
  <c r="P41" i="13" s="1"/>
  <c r="K171" i="9"/>
  <c r="C52" i="13"/>
  <c r="C51" i="13"/>
  <c r="J18" i="11"/>
  <c r="J148" i="9"/>
  <c r="N18" i="11" s="1"/>
  <c r="I30" i="11"/>
  <c r="K160" i="9"/>
  <c r="C38" i="11"/>
  <c r="K39" i="9"/>
  <c r="C13" i="11"/>
  <c r="K14" i="9"/>
  <c r="K100" i="9"/>
  <c r="G13" i="11"/>
  <c r="P13" i="13" s="1"/>
  <c r="G23" i="11"/>
  <c r="P23" i="13" s="1"/>
  <c r="K110" i="9"/>
  <c r="J27" i="9"/>
  <c r="K26" i="11" s="1"/>
  <c r="O26" i="11" s="1"/>
  <c r="D26" i="11"/>
  <c r="E14" i="11"/>
  <c r="K58" i="9"/>
  <c r="C5" i="11"/>
  <c r="K6" i="9"/>
  <c r="H18" i="11"/>
  <c r="J105" i="9"/>
  <c r="M18" i="11" s="1"/>
  <c r="H14" i="11"/>
  <c r="J101" i="9"/>
  <c r="M14" i="11" s="1"/>
  <c r="P14" i="11" s="1"/>
  <c r="F3" i="11"/>
  <c r="J47" i="9"/>
  <c r="L3" i="11" s="1"/>
  <c r="J32" i="11"/>
  <c r="J162" i="9"/>
  <c r="N32" i="11" s="1"/>
  <c r="O22" i="13"/>
  <c r="Q22" i="13"/>
  <c r="I29" i="11"/>
  <c r="K159" i="9"/>
  <c r="D13" i="11"/>
  <c r="J14" i="9"/>
  <c r="K13" i="11" s="1"/>
  <c r="H13" i="11"/>
  <c r="J100" i="9"/>
  <c r="M13" i="11" s="1"/>
  <c r="J37" i="11"/>
  <c r="J167" i="9"/>
  <c r="N37" i="11" s="1"/>
  <c r="J29" i="11"/>
  <c r="J159" i="9"/>
  <c r="N29" i="11" s="1"/>
  <c r="G10" i="11"/>
  <c r="P10" i="13" s="1"/>
  <c r="K97" i="9"/>
  <c r="C23" i="11"/>
  <c r="K24" i="9"/>
  <c r="D5" i="11"/>
  <c r="J6" i="9"/>
  <c r="K5" i="11" s="1"/>
  <c r="G17" i="11"/>
  <c r="K104" i="9"/>
  <c r="F7" i="11"/>
  <c r="J51" i="9"/>
  <c r="L7" i="11" s="1"/>
  <c r="H27" i="11"/>
  <c r="J114" i="9"/>
  <c r="M27" i="11" s="1"/>
  <c r="P27" i="11" s="1"/>
  <c r="G8" i="11"/>
  <c r="K95" i="9"/>
  <c r="D30" i="11"/>
  <c r="J31" i="9"/>
  <c r="K30" i="11" s="1"/>
  <c r="D29" i="11"/>
  <c r="J30" i="9"/>
  <c r="K29" i="11" s="1"/>
  <c r="O29" i="11" s="1"/>
  <c r="O36" i="13"/>
  <c r="Q36" i="13"/>
  <c r="C4" i="11"/>
  <c r="K5" i="9"/>
  <c r="K112" i="9"/>
  <c r="G25" i="11"/>
  <c r="P25" i="13" s="1"/>
  <c r="H8" i="11"/>
  <c r="J95" i="9"/>
  <c r="M8" i="11" s="1"/>
  <c r="O40" i="13"/>
  <c r="Q40" i="13"/>
  <c r="F5" i="11"/>
  <c r="J49" i="9"/>
  <c r="L5" i="11" s="1"/>
  <c r="G39" i="11"/>
  <c r="P39" i="13" s="1"/>
  <c r="K126" i="9"/>
  <c r="F10" i="11"/>
  <c r="J54" i="9"/>
  <c r="L10" i="11" s="1"/>
  <c r="O34" i="11"/>
  <c r="F17" i="11"/>
  <c r="J61" i="9"/>
  <c r="L17" i="11" s="1"/>
  <c r="K106" i="9"/>
  <c r="G19" i="11"/>
  <c r="P19" i="13" s="1"/>
  <c r="O42" i="13"/>
  <c r="Q42" i="13"/>
  <c r="H24" i="11"/>
  <c r="J111" i="9"/>
  <c r="M24" i="11" s="1"/>
  <c r="P24" i="11" s="1"/>
  <c r="O42" i="11"/>
  <c r="G26" i="11"/>
  <c r="P26" i="13" s="1"/>
  <c r="K113" i="9"/>
  <c r="D27" i="11"/>
  <c r="J28" i="9"/>
  <c r="K27" i="11" s="1"/>
  <c r="O27" i="11" s="1"/>
  <c r="H11" i="11"/>
  <c r="J98" i="9"/>
  <c r="M11" i="11" s="1"/>
  <c r="P11" i="11" s="1"/>
  <c r="G14" i="11"/>
  <c r="K101" i="9"/>
  <c r="J28" i="11"/>
  <c r="J158" i="9"/>
  <c r="N28" i="11" s="1"/>
  <c r="D23" i="11"/>
  <c r="J24" i="9"/>
  <c r="K23" i="11" s="1"/>
  <c r="O23" i="11" s="1"/>
  <c r="E32" i="11"/>
  <c r="K76" i="9"/>
  <c r="K153" i="9"/>
  <c r="I23" i="11"/>
  <c r="H25" i="11"/>
  <c r="J112" i="9"/>
  <c r="M25" i="11" s="1"/>
  <c r="P25" i="11" s="1"/>
  <c r="C35" i="11"/>
  <c r="K36" i="9"/>
  <c r="J39" i="9"/>
  <c r="K38" i="11" s="1"/>
  <c r="O38" i="11" s="1"/>
  <c r="D38" i="11"/>
  <c r="G37" i="11"/>
  <c r="P37" i="13" s="1"/>
  <c r="K124" i="9"/>
  <c r="D33" i="11"/>
  <c r="Q33" i="13" s="1"/>
  <c r="J34" i="9"/>
  <c r="K33" i="11" s="1"/>
  <c r="O33" i="11" s="1"/>
  <c r="H5" i="11"/>
  <c r="J92" i="9"/>
  <c r="M5" i="11" s="1"/>
  <c r="P5" i="11" s="1"/>
  <c r="H39" i="11"/>
  <c r="J126" i="9"/>
  <c r="M39" i="11" s="1"/>
  <c r="P39" i="11" s="1"/>
  <c r="J22" i="11"/>
  <c r="J152" i="9"/>
  <c r="N22" i="11" s="1"/>
  <c r="O28" i="13"/>
  <c r="J138" i="9"/>
  <c r="N8" i="11" s="1"/>
  <c r="J8" i="11"/>
  <c r="D28" i="11"/>
  <c r="Q28" i="13" s="1"/>
  <c r="J29" i="9"/>
  <c r="K28" i="11" s="1"/>
  <c r="O28" i="11" s="1"/>
  <c r="O12" i="13"/>
  <c r="C39" i="11"/>
  <c r="K40" i="9"/>
  <c r="H26" i="11"/>
  <c r="J113" i="9"/>
  <c r="M26" i="11" s="1"/>
  <c r="P26" i="11" s="1"/>
  <c r="J25" i="9"/>
  <c r="K24" i="11" s="1"/>
  <c r="D24" i="11"/>
  <c r="F32" i="11"/>
  <c r="J76" i="9"/>
  <c r="L32" i="11" s="1"/>
  <c r="J23" i="11"/>
  <c r="J153" i="9"/>
  <c r="N23" i="11" s="1"/>
  <c r="G11" i="11"/>
  <c r="K98" i="9"/>
  <c r="J124" i="9"/>
  <c r="M37" i="11" s="1"/>
  <c r="H37" i="11"/>
  <c r="D22" i="11"/>
  <c r="J23" i="9"/>
  <c r="K22" i="11" s="1"/>
  <c r="O22" i="11" s="1"/>
  <c r="J143" i="9"/>
  <c r="N13" i="11" s="1"/>
  <c r="J13" i="11"/>
  <c r="F13" i="11"/>
  <c r="J57" i="9"/>
  <c r="L13" i="11" s="1"/>
  <c r="O14" i="11"/>
  <c r="K141" i="9"/>
  <c r="I11" i="11"/>
  <c r="D11" i="11"/>
  <c r="J12" i="9"/>
  <c r="K11" i="11" s="1"/>
  <c r="E7" i="11"/>
  <c r="K51" i="9"/>
  <c r="J103" i="9"/>
  <c r="M16" i="11" s="1"/>
  <c r="P16" i="11" s="1"/>
  <c r="H16" i="11"/>
  <c r="Q16" i="13" s="1"/>
  <c r="E5" i="11"/>
  <c r="K49" i="9"/>
  <c r="E10" i="11"/>
  <c r="K54" i="9"/>
  <c r="D32" i="11"/>
  <c r="J33" i="9"/>
  <c r="K32" i="11" s="1"/>
  <c r="J5" i="11"/>
  <c r="J135" i="9"/>
  <c r="N5" i="11" s="1"/>
  <c r="F22" i="11"/>
  <c r="J66" i="9"/>
  <c r="L22" i="11" s="1"/>
  <c r="H21" i="11"/>
  <c r="J108" i="9"/>
  <c r="M21" i="11" s="1"/>
  <c r="P21" i="11" s="1"/>
  <c r="C24" i="11"/>
  <c r="K25" i="9"/>
  <c r="P9" i="11"/>
  <c r="I14" i="11"/>
  <c r="K144" i="9"/>
  <c r="G33" i="11"/>
  <c r="P33" i="13" s="1"/>
  <c r="K120" i="9"/>
  <c r="O25" i="13"/>
  <c r="I10" i="11"/>
  <c r="K140" i="9"/>
  <c r="F28" i="11"/>
  <c r="J72" i="9"/>
  <c r="L28" i="11" s="1"/>
  <c r="E26" i="11"/>
  <c r="K70" i="9"/>
  <c r="I17" i="11"/>
  <c r="K147" i="9"/>
  <c r="E37" i="11"/>
  <c r="K81" i="9"/>
  <c r="K157" i="9"/>
  <c r="I27" i="11"/>
  <c r="D19" i="11"/>
  <c r="J20" i="9"/>
  <c r="K19" i="11" s="1"/>
  <c r="O19" i="11" s="1"/>
  <c r="H4" i="11"/>
  <c r="J91" i="9"/>
  <c r="M4" i="11" s="1"/>
  <c r="E31" i="11"/>
  <c r="K75" i="9"/>
  <c r="C17" i="11"/>
  <c r="K18" i="9"/>
  <c r="D17" i="11"/>
  <c r="J18" i="9"/>
  <c r="K17" i="11" s="1"/>
  <c r="D15" i="11"/>
  <c r="J16" i="9"/>
  <c r="K15" i="11" s="1"/>
  <c r="O15" i="11" s="1"/>
  <c r="O16" i="13"/>
  <c r="P9" i="13"/>
  <c r="J38" i="11"/>
  <c r="J168" i="9"/>
  <c r="N38" i="11" s="1"/>
  <c r="C11" i="11"/>
  <c r="K12" i="9"/>
  <c r="H19" i="11"/>
  <c r="J106" i="9"/>
  <c r="M19" i="11" s="1"/>
  <c r="P19" i="11" s="1"/>
  <c r="F11" i="11"/>
  <c r="J55" i="9"/>
  <c r="L11" i="11" s="1"/>
  <c r="C20" i="11"/>
  <c r="K21" i="9"/>
  <c r="K71" i="9"/>
  <c r="E27" i="11"/>
  <c r="Q27" i="13" s="1"/>
  <c r="G38" i="11"/>
  <c r="P38" i="13" s="1"/>
  <c r="K125" i="9"/>
  <c r="F26" i="11"/>
  <c r="J70" i="9"/>
  <c r="L26" i="11" s="1"/>
  <c r="J17" i="11"/>
  <c r="J147" i="9"/>
  <c r="N17" i="11" s="1"/>
  <c r="F37" i="11"/>
  <c r="J81" i="9"/>
  <c r="L37" i="11" s="1"/>
  <c r="C32" i="11"/>
  <c r="K33" i="9"/>
  <c r="J27" i="11"/>
  <c r="J157" i="9"/>
  <c r="N27" i="11" s="1"/>
  <c r="O6" i="11"/>
  <c r="F31" i="11"/>
  <c r="J75" i="9"/>
  <c r="L31" i="11" s="1"/>
  <c r="G12" i="11"/>
  <c r="P12" i="13" s="1"/>
  <c r="K99" i="9"/>
  <c r="C31" i="11"/>
  <c r="K32" i="9"/>
  <c r="D10" i="11"/>
  <c r="J11" i="9"/>
  <c r="K10" i="11" s="1"/>
  <c r="H17" i="11"/>
  <c r="J104" i="9"/>
  <c r="M17" i="11" s="1"/>
  <c r="H33" i="11"/>
  <c r="J120" i="9"/>
  <c r="M33" i="11" s="1"/>
  <c r="P33" i="11" s="1"/>
  <c r="E8" i="11"/>
  <c r="K52" i="9"/>
  <c r="O33" i="13"/>
  <c r="O7" i="11" l="1"/>
  <c r="Q29" i="13"/>
  <c r="O29" i="13"/>
  <c r="P23" i="11"/>
  <c r="Q37" i="13"/>
  <c r="O37" i="13"/>
  <c r="P30" i="13"/>
  <c r="Q41" i="13"/>
  <c r="Q11" i="13"/>
  <c r="O11" i="13"/>
  <c r="Q4" i="13"/>
  <c r="O4" i="13"/>
  <c r="P17" i="11"/>
  <c r="P4" i="11"/>
  <c r="Q24" i="13"/>
  <c r="O24" i="13"/>
  <c r="C47" i="11"/>
  <c r="P17" i="13"/>
  <c r="O10" i="11"/>
  <c r="O32" i="13"/>
  <c r="Q32" i="13"/>
  <c r="Q20" i="13"/>
  <c r="O20" i="13"/>
  <c r="O5" i="11"/>
  <c r="P13" i="11"/>
  <c r="P30" i="11"/>
  <c r="Q19" i="13"/>
  <c r="O19" i="13"/>
  <c r="Q35" i="13"/>
  <c r="O35" i="13"/>
  <c r="P14" i="13"/>
  <c r="P29" i="11"/>
  <c r="P32" i="11"/>
  <c r="C46" i="11"/>
  <c r="O30" i="11"/>
  <c r="O13" i="11"/>
  <c r="P18" i="11"/>
  <c r="O27" i="13"/>
  <c r="C48" i="11"/>
  <c r="P3" i="11"/>
  <c r="P24" i="13"/>
  <c r="O30" i="13"/>
  <c r="Q30" i="13"/>
  <c r="Q31" i="13"/>
  <c r="O31" i="13"/>
  <c r="O18" i="13"/>
  <c r="Q25" i="13"/>
  <c r="O11" i="11"/>
  <c r="P37" i="11"/>
  <c r="Q39" i="13"/>
  <c r="O39" i="13"/>
  <c r="Q23" i="13"/>
  <c r="O23" i="13"/>
  <c r="Q13" i="13"/>
  <c r="O13" i="13"/>
  <c r="P32" i="13"/>
  <c r="Q26" i="13"/>
  <c r="O26" i="13"/>
  <c r="Q10" i="13"/>
  <c r="O10" i="13"/>
  <c r="Q8" i="13"/>
  <c r="O8" i="13"/>
  <c r="O14" i="13"/>
  <c r="Q14" i="13"/>
  <c r="Q17" i="13"/>
  <c r="O17" i="13"/>
  <c r="O17" i="11"/>
  <c r="P8" i="11"/>
  <c r="Q34" i="13"/>
  <c r="P38" i="11"/>
  <c r="P5" i="13"/>
  <c r="Q3" i="13"/>
  <c r="O3" i="13"/>
  <c r="O24" i="11"/>
  <c r="O3" i="11"/>
  <c r="O32" i="11"/>
  <c r="P11" i="13"/>
  <c r="P8" i="13"/>
  <c r="Q5" i="13"/>
  <c r="O5" i="13"/>
  <c r="O38" i="13"/>
  <c r="Q38" i="13"/>
  <c r="Q15" i="13"/>
  <c r="O15" i="13"/>
  <c r="O31" i="11"/>
  <c r="P4" i="13"/>
  <c r="Q21" i="13"/>
  <c r="O21" i="13"/>
  <c r="P22" i="11"/>
  <c r="Q7" i="13"/>
  <c r="O7" i="13"/>
  <c r="C51" i="11" l="1"/>
  <c r="C50" i="11"/>
  <c r="C52" i="11"/>
  <c r="C53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Q19" authorId="0" shapeId="0" xr:uid="{00000000-0006-0000-0B00-000001000000}">
      <text>
        <r>
          <rPr>
            <sz val="10"/>
            <rFont val="Arial"/>
            <family val="2"/>
          </rPr>
          <t>PMSB Lima Duarte — Produto 2 (Diagnóstico, CISAB-ZM, 04/05/2026), Apêndice 5, indicador AA06 (Nível I-02):
88 amostras analisadas, 74 dentro do padrão (índice = 84,09%). Fonte declarada: Sistema VIGIAGUA (Vigilância da Qualidade da Água para Consumo Humano, Ministério da Saúde), 2025 — não é dado do SINISA.
Este indicador aparece como "n.c. – Insatisfatório – sem coleta no SINISA" nesta calculadora porque nenhuma das sete bases SINISA contém o módulo de qualidade (ver Leia-me, item 8). O PMSB de Lima Duarte mostra que o dado existe fora do SINISA (VIGIAGUA), pelo menos para este município.
DECISÃO PENDENTE: incorporar dado de fonte VIGIAGUA/prestador quando disponível via ofício/PMSB, município a município, ou manter política de fonte exclusivamente SINISA (ver Leia-me, item 12).
— Nota adicionada em atualização posterior à entrega original desta calculadora.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Unknown Author</author>
  </authors>
  <commentList>
    <comment ref="F19" authorId="0" shapeId="0" xr:uid="{00000000-0006-0000-0400-000001000000}">
      <text>
        <r>
          <rPr>
            <sz val="10"/>
            <rFont val="Arial"/>
            <family val="2"/>
          </rPr>
          <t>PMSB Lima Duarte — Produto 2 (Diagnóstico, CISAB-ZM, 04/05/2026), Apêndice 5, indicador AA04/ES05:
Denominador "Domicílios Residenciais e Não Residenciais Ocupados e não ocupados existentes" = 10.138 (estimativa a partir do Censo IBGE 2022), usado pela CISAB-ZM para calcular ICA = 85,90% e ICE = 0,00%.
Cross-validação: o denominador de IAA usado pela CISAB-ZM (7.085, Censo 2022) é essencialmente idêntico ao valor já usado nesta calculadora para C19 (7.084, layout ANA/SASB) — diferença de 1 unidade. O IAA resultante da CISAB-ZM (97,95%) também é próximo do calculado aqui (97,26%). O IAE de ambas as fontes é 0,00%.
DECISÃO PENDENTE: esta calculadora não usa a estimativa Censo 2022 do PMSB como fonte do denominador de ICA/ICE (célula F19 permanece vazia = "Denominador ausente") até definição da ARIS-MG sobre adotar essa fonte (ver Leia-me, item 12). Se adotada, ICA/ICE de Lima Duarte tornam-se calculáveis.
— Nota adicionada em atualização posterior à entrega original desta calculadora.</t>
        </r>
      </text>
    </comment>
  </commentList>
</comments>
</file>

<file path=xl/sharedStrings.xml><?xml version="1.0" encoding="utf-8"?>
<sst xmlns="http://schemas.openxmlformats.org/spreadsheetml/2006/main" count="1745" uniqueCount="430">
  <si>
    <t>1. Finalidade</t>
  </si>
  <si>
    <t>Apurar os indicadores de universalização (NR8: IAA, ICA, IAE, ICE) e os indicadores operacionais Nível I (NR9) dos municípios regulados pela ARIS-MG, mantendo memória de cálculo auditável, conforme o art. 32, §2º da Resolução ARIS-MG nº 229/2026.</t>
  </si>
  <si>
    <t>2. O que mudou nesta versão (auditoria de 03/08/2026)</t>
  </si>
  <si>
    <t>Esta versão incorpora uma auditoria metodológica independente. Os quatro pontos considerados obrigatórios antes de iniciar a redação do relatório foram tratados:</t>
  </si>
  <si>
    <t xml:space="preserve">   1) Denominadores ANA/SASB: identificadas 7 inconsistências matemáticas (denominador de ICA/ICE menor que o de IAA/IAE) — ver aba Base_Denominadores, coluna J. Nesses casos ICA/ICE deixam de ser calculados como percentual e passam a "Não avaliável – denominador incoerente".</t>
  </si>
  <si>
    <t xml:space="preserve">   2) NR9 Nível I-05 (intermitência do esgotamento sanitário) foi incluído na aba NR9_Nivel_I, com nova aba Base_SINISA_Esgoto_2023 trazendo a extensão de rede de esgoto do ano anterior.</t>
  </si>
  <si>
    <t xml:space="preserve">   3) Resultados "com ressalva" ou inconsistentes deixam de gerar conclusão "Atingida/Não atingida": nova coluna "Apto p/ avaliação regulatória" bloqueia essa conclusão sempre que o cálculo não for limpo (situação = "Calculado").</t>
  </si>
  <si>
    <t xml:space="preserve">   4) "Nível de confiança" foi desmembrado em duas colunas independentes: "Confiabilidade dos dados" e "Manifestação ao ofício" (taxonomia própria) — não se misturam mais. A metodologia de atribuição da confiabilidade foi revisada na segunda rodada de auditoria; ver item 9.</t>
  </si>
  <si>
    <t>Também foram tratados: testes automáticos de consistência residencial ≤ total (água e esgoto, urbano e rural — caso de Muriaé/esgoto); validação de soluções alternativas desmembrada em 4 campos independentes (água urbana, água rural, esgoto urbano, esgoto rural); textos de situação encurtados para evitar o artefato _xlfn._LONGTEXT em formulas com texto muito longo.</t>
  </si>
  <si>
    <t>Não incluído nesta versão, por exigir refatoração maior: substituição das referências posicionais (linha a linha) por busca via Código IBGE (XLOOKUP/tabelas estruturadas). As 40 linhas permanecem na mesma ordem em todas as abas — isso funciona hoje, mas é um risco caso alguém reordene ou insira municípios manualmente. Ver aba Verificacao_Integridade, que checa isso a cada abertura.</t>
  </si>
  <si>
    <t>3. Fontes de dados</t>
  </si>
  <si>
    <t>• Numeradores: SINISA 2024 (Gestão Técnica de Água retificada, Gestão Técnica de Esgoto, Gestão Municipal) e SINISA 2023 (ano-1, para as médias exigidas pela NR9).</t>
  </si>
  <si>
    <t>• Denominadores: layout ANA/SASB do ciclo de reporte anterior — base provisória; ver ressalva de auditoria no item 2 acima.</t>
  </si>
  <si>
    <t>• Base normativa: NR8 (Res. ANA 192/2024), NR9 (Res. ANA 211/2024), Resolução ARIS-MG 229/2026 e Resolução ARIS-MG 184/2025 (soluções alternativas adequadas).</t>
  </si>
  <si>
    <t>4. Regra central: dado ausente NÃO vira zero</t>
  </si>
  <si>
    <t>Todo indicador sem condições de apuração é marcado como "n.c." e recebe, na coluna Situação, uma classificação curta (ver legenda ao final de cada aba): prestador ausente da base, denominador ausente/incoerente, calculado com ressalva (parcela tratada como zero) ou calculado com ressalva grave (inconsistência estrutural nos dados de origem).</t>
  </si>
  <si>
    <t>5. Soluções alternativas</t>
  </si>
  <si>
    <t>A Res. ARIS-MG 184/2025 condiciona a adequação de poços/cisternas/fossas ao atendimento cumulativo de requisitos que o SINISA não atesta. A aba Sol_Alternativas agora exige validação SEPARADA por tipologia (água urbana / água rural / esgoto urbano / esgoto rural) — um município pode ter uma tipologia validada e outra não. Padrão de todas: "Não" (nenhuma parcela computada até validação documentada da ARIS-MG).</t>
  </si>
  <si>
    <t>6. Legenda de cores</t>
  </si>
  <si>
    <t xml:space="preserve">   Células com fundo AMARELO = preenchimento pela ARIS-MG (validações, ofícios, dados de anos anteriores).</t>
  </si>
  <si>
    <t xml:space="preserve">   Demais células = extração automática do SINISA/layout ANA ou fórmula. Não editar.</t>
  </si>
  <si>
    <t>7. Abas</t>
  </si>
  <si>
    <t>Parametros · Base_SINISA_Agua · Base_SINISA_Esgoto · Base_Denominadores · Sol_Alternativas · Base_SINISA_2023 · Base_SINISA_Esgoto_2023 · Memoria_Calculo · Resultados · NR9_Nivel_I · Controle_Oficios · Diagnostico · Verificacao_Integridade</t>
  </si>
  <si>
    <t>8. Limitações conhecidas desta versão</t>
  </si>
  <si>
    <t>• Coliformes totais e DBO (NR9 I-02 e I-03): nenhuma das sete planilhas SINISA contém o módulo de qualidade — indicadores insatisfatórios por falta de informação para 100% dos municípios; dado deve ser obtido diretamente do prestador/vigilância sanitária.</t>
  </si>
  <si>
    <t>• Perdas (I-01) e intermitência de água (I-04): dependem do ano-1 (2023) e da presença de dados de água em 2024. Cobertos em 36 de 40 municípios (faltam: Chalé, Jampruca, Manhumirim, Oratórios). Intermitência de esgoto (I-05): cobertos em 34 de 40 municípios (faltam: Brás Pires, Chalé, Jampruca, Manhumirim, Taparuba, Tocantins).</t>
  </si>
  <si>
    <t>• Denominador de ICA/ICE (layout ANA/SASB) ausente para 24 de 40 municípios e matematicamente incoerente para outros 7 (ver item 2 acima). Denominador de IAA/IAE ausente para 10 de 40 municípios.</t>
  </si>
  <si>
    <t>• Lista de municípios: 35 do layout ANA do ciclo anterior mais Reduto (da lista de PMSB de ago/2025, ausente daquele layout), mais Sete Lagoas, Padre Paraíso, Crucilândia e Central de Minas, incorporados a partir da tabela oficial de ofícios — ver item 10. Guarani e Mantena constam do layout e não da lista de PMSB. Lista adotada para este ciclo pela ARIS-MG.</t>
  </si>
  <si>
    <t>9. Segunda rodada de auditoria (03/08/2026) — o que mudou</t>
  </si>
  <si>
    <t>• Confiabilidade dos dados deixou de ser inferida automaticamente (Alta/Média/Baixa) a partir de completude e consistência aparente. O art. 18 da NR9 exige que o nível de confiança decorra de metodologia própria de auditoria e certificação das informações do SINISA — não de inferência automática, ainda que os dados estejam completos e coerentes. Por isso, para este ciclo, todos os municípios recebem "Não avaliada – informação primária indisponível" (quando não há registro do prestador em nenhuma das duas bases técnicas) ou "Não avaliada – ausência de elementos suficientes para aplicação dos testes de controle" (nos demais casos), até que a ARIS-MG realize e documente os testes de controle. Isso não altera nenhum cálculo, apenas a qualificação regulatória da informação.</t>
  </si>
  <si>
    <t>• Resultados acima de 100% (ex.: IAA = 128,65%) permanecem calculados, aptos para avaliação regulatória e contam normalmente para "Meta atingida" quando ambos os indicadores do par satisfazem o limiar — a fórmula da NR8/NR9 não impõe teto de 100%, e a ARIS-MG não deve alterar arbitrariamente um resultado que decorre matematicamente dos dados oficiais. Uma ressalva textual (indício de incompatibilidade entre numerador e denominador) passou a ser registrada na coluna Observação da Memória de Cálculo — separando "resultado calculado" de "consistência aparente" e de "confiança auditada", como três camadas distintas.</t>
  </si>
  <si>
    <t>• A comparação ICA≥IAA e ICE≥IAE foi renomeada de "Inconsistente" para "Alerta de coerência – cobertura &lt; atendimento" na aba Diagnostico: como IAA/IAE usam o universo de domicílios residenciais ocupados e ICA/ICE usam um universo mais amplo (residenciais e não residenciais, ocupados ou não), não existe obrigação matemática de ICA≥IAA — o teste continua útil como gatilho de revisão cadastral, mas não afirma mais que o dado é necessariamente inválido.</t>
  </si>
  <si>
    <t>10. Sete Lagoas, Padre Paraíso, Crucilândia e Central de Minas — 4 municípios incorporados ao escopo</t>
  </si>
  <si>
    <t>A regulação de Sete Lagoas (SAAE) pela ARIS-MG começou em 2026, após o levantamento técnico de 2025 que definiu os 36 municípios originais deste ciclo. Em resposta ao Ofício 445/2026 da ARIS-MG, o Município respondeu (Ofício 348/SAAE.PRES/2026, de 06/07/2026) relatando PMSB instituído pelo Decreto nº 5.346/2015 e Conselho Municipal de Controle Social instituído pela Lei nº 8.610/2016, solicitando orientação técnica sobre a estrutura de governança antes de iniciar a revisão do Plano — ver aba Controle_Oficios.</t>
  </si>
  <si>
    <t>A tabela oficial de controle de ofícios (item 11 abaixo) revelou ainda que a ARIS-MG enviou ofícios a Padre Paraíso (436/2026), Crucilândia (420/2026) e Central de Minas (451/2026) — três municípios que não constavam desta calculadora. Os quatro foram incorporados ao escopo. Todos TÊM registro do prestador nas bases SINISA 2024 e 2023 de Gestão Técnica de Água e de Esgoto, permitindo calcular normalmente os indicadores NR9 (perdas, intermitência de água e de esgoto). Nenhum dos quatro possui, porém, denominador do layout ANA/SASB (domicílios residenciais ocupados e domicílios totais), pois não integravam o ciclo de reporte anterior de onde essa fonte provém — a mesma situação de outros 6 municípios já presentes na calculadora. Por isso, IAA/ICA/IAE/ICE aparecem como "Não calculado – denominador ausente" até que a ARIS-MG defina a fonte de denominador para esses municípios (Censo IBGE 2022 ou módulo Gestão Municipal do SINISA, ver Base_Denominadores).</t>
  </si>
  <si>
    <t>11. Tabela oficial de controle de ofícios</t>
  </si>
  <si>
    <t>A aba Controle_Oficios foi atualizada com a "Relação dos ofícios enviados e respondidos" fornecida pela ARIS-MG, cobrindo 39 dos 40 municípios do escopo (todos exceto Brás Pires, sem registro de ofício nessa tabela). Isso permitiu upgradar a manifestação de "Não enviado/não localizado" para "Enviado – sem resposta" em todos os municípios com ofício comprovadamente enviado mas ainda sem resposta — uma distinção relevante, já que as duas situações eram anteriormente tratadas de forma menos precisa. A tabela também confirmou que Lima Duarte respondeu em 28/05/2026 (Ofício 429/2026); como o documento da resposta não foi anexado a esta base, o conteúdo não pôde ser incorporado, e o município aparece como "Respondeu – sem dados". As datas de resposta de Raul Soares e Caranaíba foram reconciliadas com a tabela oficial (27/05/2026 e 08/06/2026, respectivamente), com nota explicando a pequena divergência frente às datas que constam nos próprios documentos de resposta.</t>
  </si>
  <si>
    <t>12. Ofício 123/2026 de Lima Duarte — conteúdo incorporado</t>
  </si>
  <si>
    <t>O documento de resposta ao Ofício 429/2026 (Ofício nº 123/2026-Gabinete da Prefeita, 28/05/2026) e seus anexos (Contrato CISAB-ZM nº 64/2025, Produto 1 e Produto 2 do PMSB, Lei Municipal nº 1.661/2011) foram recebidos e incorporados. A aba Controle_Oficios foi atualizada: manifestação de Lima Duarte passa de "Respondeu – sem dados" para "Respondeu – parcialmente", com o conteúdo de governança/situação do PMSB registrado na coluna "Conteúdo recebido". Como nos demais municípios nesta situação, o conteúdo é sobre governança e cronograma do PMSB, não sobre dados primários de indicadores — não altera a Memória de Cálculo.</t>
  </si>
  <si>
    <t>Divergência identificada: o ofício descreve a Lei nº 1.661/2011 como instituidora de um "Conselho Municipal de Saneamento Básico". A leitura da Lei (art. 25, I, e art. 26) mostra que as competências deliberativas do Sistema Municipal de Gestão do Saneamento Básico (SMSB) foram atribuídas ao Conselho Municipal de Saúde já existente, e não a um conselho de saneamento autônomo; a Lei cria, à parte, um "Conselho Gestor do FMSB" (art. 32), de escopo restrito à gestão do Fundo. Registrado na coluna "Conteúdo recebido" de Controle_Oficios.</t>
  </si>
  <si>
    <t>Achado numérico (não aplicado nesta versão — decisão pendente da ARIS-MG): o Produto 2 (Diagnóstico, CISAB-ZM, 04/05/2026) traz indicadores de referência próprios para Lima Duarte, calculados com SINISA 2024/2025 + Censo IBGE 2022 + VIGIAGUA. Servem como cross-validação externa desta calculadora: IAA 97,95% (CISAB) vs. 97,26% (aqui); IAE 0,00% em ambas; I-01 (perdas) 90,38 L/lig.dia em ambas; I-05 (intermitência esgoto) 8,74 registros/km em ambas. E preenchem duas lacunas desta calculadora, caso a ARIS-MG decida adotar as mesmas fontes: (i) ICA/ICE de Lima Duarte, hoje "Denominador ausente", seriam calculáveis com o denominador Censo 2022 de 10.138 domicílios usado pela CISAB-ZM (ICA = 85,90%; ICE = 0,00%); (ii) o Nível I-02 (coliformes), hoje "Insatisfatório – sem coleta no SINISA", teria 84,09% via VIGIAGUA 2025 (74/88 amostras). Documentado em comentários nas células Base_Denominadores!F19 e NR9_Nivel_I!Q19 — nenhum valor foi alterado nesta versão.</t>
  </si>
  <si>
    <t>PARÂMETROS DO CICLO</t>
  </si>
  <si>
    <t>Ano-base de referência</t>
  </si>
  <si>
    <t>Posição de dezembro do ano-base (NR8, art. 24).</t>
  </si>
  <si>
    <t>Entidade reguladora</t>
  </si>
  <si>
    <t>ARIS-MG</t>
  </si>
  <si>
    <t>CNPJ 44.781.803/0001-04.</t>
  </si>
  <si>
    <t>Meta de universalização – água</t>
  </si>
  <si>
    <t>IAA e ICA simultaneamente ≥ 99% (NR8, art. 26).</t>
  </si>
  <si>
    <t>Meta de universalização – esgoto</t>
  </si>
  <si>
    <t>IAE e ICE simultaneamente ≥ 90% (NR8, art. 27).</t>
  </si>
  <si>
    <t>Fonte dos numeradores</t>
  </si>
  <si>
    <t>SINISA 2024/2023</t>
  </si>
  <si>
    <t>Gestão Técnica de Água/Esgoto, Gestão Municipal e ano-1.</t>
  </si>
  <si>
    <t>Fonte dos denominadores</t>
  </si>
  <si>
    <t>Layout ANA/SASB</t>
  </si>
  <si>
    <t>Provisória — 7 casos incoerentes identificados em auditoria.</t>
  </si>
  <si>
    <t>Tratamento de valor ausente</t>
  </si>
  <si>
    <t>Não calculado</t>
  </si>
  <si>
    <t>Ausência NÃO é convertida em zero; ver aba Leia-me.</t>
  </si>
  <si>
    <t>Municípios no escopo</t>
  </si>
  <si>
    <t>40 municípios: os 35 do layout ANA + Reduto, mais Sete Lagoas, Padre Paraíso, Crucilândia e Central de Minas (incorporados — ver Leia-me, item 10).</t>
  </si>
  <si>
    <t>BASE SINISA 2024 — GESTÃO TÉCNICA DE ÁGUA (informações primárias extraídas)</t>
  </si>
  <si>
    <t>Cód. IBGE</t>
  </si>
  <si>
    <t>Município</t>
  </si>
  <si>
    <t>Situação do registro</t>
  </si>
  <si>
    <t>Prestador (SINISA)</t>
  </si>
  <si>
    <t>Econ. residenciais ativas – urbanas</t>
  </si>
  <si>
    <t>Econ. residenciais ativas – rurais</t>
  </si>
  <si>
    <t>Econ. ativas (res+não res) – urbanas</t>
  </si>
  <si>
    <t>Econ. ativas (res+não res) – rurais</t>
  </si>
  <si>
    <t>Econ. inativas (res+não res)</t>
  </si>
  <si>
    <t>Econ. factíveis (res+não res)</t>
  </si>
  <si>
    <t>Ligações ativas</t>
  </si>
  <si>
    <t>Ligações inativas</t>
  </si>
  <si>
    <t>Vol. produzido (1.000 m³)</t>
  </si>
  <si>
    <t>Vol. tratada importado</t>
  </si>
  <si>
    <t>Vol. tratada exportado</t>
  </si>
  <si>
    <t>Vol. autorizado não faturado</t>
  </si>
  <si>
    <t>Vol. consumido</t>
  </si>
  <si>
    <t>Vol. entrada na distribuição</t>
  </si>
  <si>
    <t>Vol. micromedido</t>
  </si>
  <si>
    <t>Vol. macromedido</t>
  </si>
  <si>
    <t>Paralisações (qtd)</t>
  </si>
  <si>
    <t>Econ. atingidas por paralisações</t>
  </si>
  <si>
    <t>Duração das paralisações (h)</t>
  </si>
  <si>
    <t>Interrupções sistemáticas (qtd)</t>
  </si>
  <si>
    <t>Econ. atingidas por interrupções</t>
  </si>
  <si>
    <t>Duração das interrupções (h)</t>
  </si>
  <si>
    <t>Reclam. de falta de água</t>
  </si>
  <si>
    <t>Reclam. de vazamentos</t>
  </si>
  <si>
    <t>Campos-chave ausentes (E:J)</t>
  </si>
  <si>
    <t>Consistência urbana (res.≤total)</t>
  </si>
  <si>
    <t>Consistência rural (res.≤total)</t>
  </si>
  <si>
    <t>Abre Campo</t>
  </si>
  <si>
    <t>Presente</t>
  </si>
  <si>
    <t>Serviço Autônomo de Água e Esgoto</t>
  </si>
  <si>
    <t>Acaiaca</t>
  </si>
  <si>
    <t>Prefeitura Municipal de Acaiaca</t>
  </si>
  <si>
    <t>Aimorés</t>
  </si>
  <si>
    <t>Brás Pires</t>
  </si>
  <si>
    <t>Prefeitura Municipal de Brás Pires</t>
  </si>
  <si>
    <t>Caranaíba</t>
  </si>
  <si>
    <t>Prefeitura Municipal de Caranaíba</t>
  </si>
  <si>
    <t>Carangola</t>
  </si>
  <si>
    <t>Serviço Municipal de Saneametno Básico e Infraestrutura</t>
  </si>
  <si>
    <t>Chalé</t>
  </si>
  <si>
    <t>Ausente</t>
  </si>
  <si>
    <t>Conselheiro Pena</t>
  </si>
  <si>
    <t>Governador Valadares</t>
  </si>
  <si>
    <t>Águas de Valadares  Serviço Autônomo de Água e Esgoto</t>
  </si>
  <si>
    <t>Guarani</t>
  </si>
  <si>
    <t>Serviço Autônomo de Água e Esgoto de Guarani</t>
  </si>
  <si>
    <t>Ipanema</t>
  </si>
  <si>
    <t>Itambacuri</t>
  </si>
  <si>
    <t>Jampruca</t>
  </si>
  <si>
    <t>Prefeitura Municipal de Jampruca</t>
  </si>
  <si>
    <t>Jeceaba</t>
  </si>
  <si>
    <t>Prefeitura Municipal de Jeceaba</t>
  </si>
  <si>
    <t>Jequeri</t>
  </si>
  <si>
    <t>Departamento Municipal de Água e Esgoto</t>
  </si>
  <si>
    <t>Lajinha</t>
  </si>
  <si>
    <t>Lima Duarte</t>
  </si>
  <si>
    <t>Manhuaçu</t>
  </si>
  <si>
    <t>Serviço Autônomo Água e Esgoto</t>
  </si>
  <si>
    <t>Manhumirim</t>
  </si>
  <si>
    <t>Mantena</t>
  </si>
  <si>
    <t>Mariana</t>
  </si>
  <si>
    <t>Serviço Autônomo de Água e Esgoto de Mariana</t>
  </si>
  <si>
    <t>Muriaé</t>
  </si>
  <si>
    <t>Departamento Municipal de Saneamento Urbano</t>
  </si>
  <si>
    <t>Oratórios</t>
  </si>
  <si>
    <t>Piracema</t>
  </si>
  <si>
    <t>Prefeitura Municipal de Piracema</t>
  </si>
  <si>
    <t>Pocrane</t>
  </si>
  <si>
    <t>Ponte Nova</t>
  </si>
  <si>
    <t>Departamento Municipal de Água, Esgoto e Saneamento</t>
  </si>
  <si>
    <t>Raul Soares</t>
  </si>
  <si>
    <t>Recreio</t>
  </si>
  <si>
    <t>Reduto</t>
  </si>
  <si>
    <t>Serviço Autônomo de Água e Esgoto de Reduto</t>
  </si>
  <si>
    <t>Senador Firmino</t>
  </si>
  <si>
    <t>São Francisco Do Glória</t>
  </si>
  <si>
    <t>Prefeitura Municipal de São Francisco do Glória</t>
  </si>
  <si>
    <t>Taparuba</t>
  </si>
  <si>
    <t>Serviço Autônomo de Água e Esgotos de Taparuba</t>
  </si>
  <si>
    <t>Tocantins</t>
  </si>
  <si>
    <t>Serviço Autônomo de Água e Esgoto de Tocantins</t>
  </si>
  <si>
    <t>Tombos</t>
  </si>
  <si>
    <t>Vermelho Novo</t>
  </si>
  <si>
    <t>Viçosa</t>
  </si>
  <si>
    <t>Sete Lagoas</t>
  </si>
  <si>
    <t>Serviço Autônomo de Água, Esgoto e Saneamento Urbano</t>
  </si>
  <si>
    <t>Padre Paraíso</t>
  </si>
  <si>
    <t xml:space="preserve">COPASA Serviços de Saneamento Integrado do Norte e Nordeste de Minas Gerais S/A  Companhia de Saneamento de Minas Gerais </t>
  </si>
  <si>
    <t>Crucilândia</t>
  </si>
  <si>
    <t xml:space="preserve">Companhia de Saneamento de Minas Gerais </t>
  </si>
  <si>
    <t>Central de Minas</t>
  </si>
  <si>
    <t>Colunas E–J são as informações primárias exigidas pelo Anexo I da Res. ARIS-MG 229/2026 para IAA e ICA. Colunas AD/AE testam se a economia RESIDENCIAL não excede a economia TOTAL (mesma tipologia, urbana/rural) — inconsistência aqui indica erro de preenchimento na fonte, não um dado zero legítimo.</t>
  </si>
  <si>
    <t>BASE SINISA 2024 — GESTÃO TÉCNICA DE ESGOTO (informações primárias extraídas)</t>
  </si>
  <si>
    <t>Econ. residenciais ativas c/ tratamento – urbanas</t>
  </si>
  <si>
    <t>Econ. residenciais ativas c/ tratamento – rurais</t>
  </si>
  <si>
    <t>Econ. ativas c/ tratamento (res+não res) – urbanas</t>
  </si>
  <si>
    <t>Econ. ativas c/ tratamento (res+não res) – rurais</t>
  </si>
  <si>
    <t>Econ. inativas c/ tratamento</t>
  </si>
  <si>
    <t>Econ. factíveis c/ tratamento</t>
  </si>
  <si>
    <t>Ligações ativas de esgoto</t>
  </si>
  <si>
    <t>Reclam. de extravasamento</t>
  </si>
  <si>
    <t>Extravasamentos reparados</t>
  </si>
  <si>
    <t>Tempo total de reparos (h)</t>
  </si>
  <si>
    <t>Vol. de esgoto coletado</t>
  </si>
  <si>
    <t>Vol. de esgoto tratado</t>
  </si>
  <si>
    <t>Extensão de rede (km) — ano-base 2024</t>
  </si>
  <si>
    <t>Serviço Autônomo de Água e Esgoto | Águas de Valadares</t>
  </si>
  <si>
    <t>Prefeitura Municipal de Oratórios</t>
  </si>
  <si>
    <t>Prefeitura Municipal de Padre Paraíso</t>
  </si>
  <si>
    <t>Prefeitura Municipal de Crucilândia</t>
  </si>
  <si>
    <t>A NR8 exige, para IAE e ICE, economias COM TRATAMENTO de esgoto. Colunas R/S testam residencial ≤ total (mesma inconsistência identificada em Muriaé pela auditoria: economia residencial maior que a economia total com tratamento). Coluna T traz a extensão de rede pública de esgoto do ano-base, usada no índice de intermitência do esgoto (NR9 Nível I-05).</t>
  </si>
  <si>
    <t>DENOMINADORES — LAYOUT ANA/SASB (referência IBGE) — PROVISÓRIO, COM RESSALVA DE AUDITORIA</t>
  </si>
  <si>
    <t>Domicílios residenciais ocupados – total</t>
  </si>
  <si>
    <t>Domicílios residenciais ocupados – urbanos</t>
  </si>
  <si>
    <t>Domicílios residenciais ocupados – rurais</t>
  </si>
  <si>
    <t>Domicílios res. e não res., ocupados e não ocupados (ICA/ICE)</t>
  </si>
  <si>
    <t>Fonte</t>
  </si>
  <si>
    <t>Situação p/ IAA e IAE</t>
  </si>
  <si>
    <t>Situação p/ ICA e ICE</t>
  </si>
  <si>
    <t>Situação do denominador (auditoria)</t>
  </si>
  <si>
    <t>Layout ANA/SASB – ciclo anterior</t>
  </si>
  <si>
    <t>Não disponível</t>
  </si>
  <si>
    <t>O denominador de ICA/ICE (domicílios residenciais e não residenciais, ocupados ou não) não pode ser MENOR que o denominador de IAA/IAE (apenas residenciais ocupados) — o universo de ICA/ICE necessariamente contém o de IAA/IAE. Linhas em VERMELHO (coluna J = "Incoerente") indicam erro na fonte ANA/SASB; até nova reconciliação, ICA/ICE desses municípios são tratados como "Não avaliável", não como percentual calculado.</t>
  </si>
  <si>
    <t>Casos identificados em auditoria (03/08/2026): Carangola, Conselheiro Pena, Itambacuri, Pocrane, Ponte Nova, Recreio e Vermelho Novo. O caso de Ponte Nova é o mais grave (denominador ICA/ICE = 203 para 21.900 domicílios residenciais ocupados), produzindo ICA &gt; 14.000% caso não corrigido.</t>
  </si>
  <si>
    <t>SOLUÇÕES ALTERNATIVAS — SINISA/GESTÃO MUNICIPAL 2024 E VALIDAÇÃO POR TIPOLOGIA (RES. ARIS-MG 184/2025)</t>
  </si>
  <si>
    <t>Respondeu ao Módulo Gestão Municipal</t>
  </si>
  <si>
    <t>Água urbana – poços/nascentes (OGM5008)</t>
  </si>
  <si>
    <t>Água urbana – cisternas (OGM5011)</t>
  </si>
  <si>
    <t>Água rural – poços/nascentes (OGM5026)</t>
  </si>
  <si>
    <t>Água rural – cisternas (OGM5029)</t>
  </si>
  <si>
    <t>Esgoto urbano – fossas sépticas (OGM5107)</t>
  </si>
  <si>
    <t>Esgoto rural – fossas sépticas (OGM5124)</t>
  </si>
  <si>
    <t>Água urbana validada (Res. 184/2025)?</t>
  </si>
  <si>
    <t>Água rural validada (Res. 184/2025)?</t>
  </si>
  <si>
    <t>Esgoto urbano validado (Res. 184/2025)?</t>
  </si>
  <si>
    <t>Esgoto rural validado (Res. 184/2025)?</t>
  </si>
  <si>
    <t>Água urbana admitida</t>
  </si>
  <si>
    <t>Água rural admitida</t>
  </si>
  <si>
    <t>Esgoto urbano admitido</t>
  </si>
  <si>
    <t>Esgoto rural admitido</t>
  </si>
  <si>
    <t>Justificativa da validação (por tipologia)</t>
  </si>
  <si>
    <t>Sim</t>
  </si>
  <si>
    <t>Não</t>
  </si>
  <si>
    <t>Padrão "Não" nas 4 colunas de validação: o SINISA informa a existência da solução, mas não comprova os requisitos cumulativos dos arts. 3º/4º da Res. ARIS-MG 184/2025. Cada tipologia (água urbana, água rural, esgoto urbano, esgoto rural) é validada de forma INDEPENDENTE — um município pode ter, por exemplo, fossas rurais validadas e poços urbanos não. Não há, no SINISA, solução alternativa para domicílios NÃO residenciais — parcela sempre computada como zero em ICA/ICE.</t>
  </si>
  <si>
    <t>BASE SINISA 2023 — GESTÃO TÉCNICA DE ÁGUA (ANO ANTERIOR, PARA MÉDIA DOS INDICADORES NR9 NÍVEL I-01 E I-04)</t>
  </si>
  <si>
    <t>Prestador (SINISA 2023)</t>
  </si>
  <si>
    <t>Ligações ativas de água (2023)</t>
  </si>
  <si>
    <t>Economias ativas de água — urb.+rural (2023)</t>
  </si>
  <si>
    <t xml:space="preserve">COPASA Serviços de Saneamento Integrado do Norte e Nordeste de Minas Gerais S/A; Companhia de Saneamento de Minas Gerais </t>
  </si>
  <si>
    <t>Fonte: SINISA_AGUA_Informações_Gestão Técnica de Água_Base Municipal_2023_V2.xlsx. Usada exclusivamente para compor a MÉDIA entre o ano-base (2024) e o ano anterior (2023), exigida pelos indicadores Nível I-01 (perdas) e I-04 (intermitência de água) da NR9. Linha cinza = prestador não localizado na base 2023.</t>
  </si>
  <si>
    <t>BASE SINISA 2023 — GESTÃO TÉCNICA DE ESGOTO (ANO ANTERIOR, PARA NR9 NÍVEL I-05)</t>
  </si>
  <si>
    <t>Extensão de rede de esgoto (km) — 2023</t>
  </si>
  <si>
    <t>COPASA Serviços de Saneamento Integrado do Norte e Nordeste de Minas Gerais S/A | Prefeitura Municipal de Padre Paraíso</t>
  </si>
  <si>
    <t>Fonte: SINISA_ESGOTO_Informações_Gestão Técnica de Esgoto_Base Municipal_2023_V2.xlsx (casado por Código IBGE, pois este arquivo não traz coluna de UF). Usada para o índice de intermitência do esgotamento sanitário (NR9 Nível I-05), que exige a média da extensão de rede entre o ano-base e o ano anterior.</t>
  </si>
  <si>
    <t>IAA — ÍNDICE DE ATENDIMENTO DE ABASTECIMENTO DE ÁGUA  |  (econ. residenciais ativas de água + domicílios residenciais com solução alternativa validada) ÷ domicílios residenciais ocupados existentes</t>
  </si>
  <si>
    <t>Econ. res. ativas – urbanas</t>
  </si>
  <si>
    <t>Econ. res. ativas – rurais</t>
  </si>
  <si>
    <t>Dom. c/ sol. alt. água validada – urbana</t>
  </si>
  <si>
    <t>Dom. c/ sol. alt. água validada – rural</t>
  </si>
  <si>
    <t>NUMERADOR</t>
  </si>
  <si>
    <t>DENOMINADOR (dom. res. ocupados)</t>
  </si>
  <si>
    <t>IAA</t>
  </si>
  <si>
    <t>Situação</t>
  </si>
  <si>
    <t>Apto p/ avaliação regulatória</t>
  </si>
  <si>
    <t>Observação</t>
  </si>
  <si>
    <t>ICA — ÍNDICE DE COBERTURA DE ABASTECIMENTO DE ÁGUA  |  (econ. ativas + inativas + factíveis, residenciais e não residenciais, + domicílios com solução alternativa validada) ÷ domicílios res. e não res., ocupados e não ocupados</t>
  </si>
  <si>
    <t>Econ. ativas (urb+rur)</t>
  </si>
  <si>
    <t>Econ. inativas</t>
  </si>
  <si>
    <t>Econ. factíveis</t>
  </si>
  <si>
    <t>Dom. c/ sol. alt. água validada (urb+rur)</t>
  </si>
  <si>
    <t>DENOMINADOR (dom. res+não res)</t>
  </si>
  <si>
    <t>ICA</t>
  </si>
  <si>
    <t>IAE — ÍNDICE DE ATENDIMENTO DE ESGOTAMENTO SANITÁRIO  |  (econ. residenciais ativas COM TRATAMENTO + domicílios residenciais com solução alternativa validada) ÷ domicílios residenciais ocupados existentes</t>
  </si>
  <si>
    <t>Econ. res. ativas c/ tratamento – urbanas</t>
  </si>
  <si>
    <t>Econ. res. ativas c/ tratamento – rurais</t>
  </si>
  <si>
    <t>Dom. c/ sol. alt. esgoto validada – urbana</t>
  </si>
  <si>
    <t>Dom. c/ sol. alt. esgoto validada – rural</t>
  </si>
  <si>
    <t>IAE</t>
  </si>
  <si>
    <t>ICE — ÍNDICE DE COBERTURA DE ESGOTAMENTO SANITÁRIO  |  (econ. ativas + inativas + factíveis COM TRATAMENTO, residenciais e não residenciais, + domicílios com solução alternativa validada) ÷ domicílios res. e não res., ocupados e não ocupados</t>
  </si>
  <si>
    <t>Econ. ativas c/ trat. (urb+rur)</t>
  </si>
  <si>
    <t>Econ. inativas c/ trat.</t>
  </si>
  <si>
    <t>Econ. factíveis c/ trat.</t>
  </si>
  <si>
    <t>Dom. c/ sol. alt. esgoto validada (urb+rur)</t>
  </si>
  <si>
    <t>ICE</t>
  </si>
  <si>
    <t>CONTROLE DE OFÍCIOS — SITUAÇÃO DO PMSB E ADEQUAÇÃO À NR08/NR09 (preenchimento pela ARIS-MG)</t>
  </si>
  <si>
    <t>Nº do ofício</t>
  </si>
  <si>
    <t>Data de envio</t>
  </si>
  <si>
    <t>Prazo para resposta</t>
  </si>
  <si>
    <t>Meio de envio</t>
  </si>
  <si>
    <t>Manifestação ao ofício</t>
  </si>
  <si>
    <t>Data da resposta</t>
  </si>
  <si>
    <t>Conteúdo recebido</t>
  </si>
  <si>
    <t>Observações</t>
  </si>
  <si>
    <t>413/2026</t>
  </si>
  <si>
    <t>25/05/2026</t>
  </si>
  <si>
    <t>20 dias corridos</t>
  </si>
  <si>
    <t>E-mail/1Doc</t>
  </si>
  <si>
    <t>Enviado – sem resposta</t>
  </si>
  <si>
    <t>Sem resposta até a data de corte desta calculadora, conforme a tabela oficial de controle de ofícios da ARIS-MG.</t>
  </si>
  <si>
    <t>414/2026</t>
  </si>
  <si>
    <t>415/2026</t>
  </si>
  <si>
    <t>Não enviado/não localizado</t>
  </si>
  <si>
    <t>416/2026</t>
  </si>
  <si>
    <t>Respondeu – parcialmente</t>
  </si>
  <si>
    <t>08/06/2026</t>
  </si>
  <si>
    <t>Ofício 053/2026-GAB: PMSB de 2015/16 aprovado pela Lei nº 1.004/2024; contrato com o CISAB (abril/2026, 12 meses, 7 produtos) para revisão; Comitê Executivo constituído; Produto 1 entregue.</t>
  </si>
  <si>
    <t>Bem documentada sobre o processo de revisão; ainda sem metas/indicadores NR08-09. Data da resposta reconciliada com a tabela oficial (08/06/2026) — a nota interna de encaminhamento é de 29/05/2026.</t>
  </si>
  <si>
    <t>417/2026</t>
  </si>
  <si>
    <t>418/2026</t>
  </si>
  <si>
    <t>419/2026</t>
  </si>
  <si>
    <t>421/2026</t>
  </si>
  <si>
    <t>422/2026</t>
  </si>
  <si>
    <t>423/2026</t>
  </si>
  <si>
    <t>424/2026</t>
  </si>
  <si>
    <t>425/2026</t>
  </si>
  <si>
    <t>426/2026</t>
  </si>
  <si>
    <t>02/06/2026</t>
  </si>
  <si>
    <t>Depto. de Água informa PMSB com prazo de revisão expirado; contato iniciado com o CISAB em 28/05/2026 para contratação da revisão.</t>
  </si>
  <si>
    <t>Sem metas/indicadores NR08-09 nem dados primários de água/esgoto.</t>
  </si>
  <si>
    <t>427/2026</t>
  </si>
  <si>
    <t>428/2026</t>
  </si>
  <si>
    <t>429/2026</t>
  </si>
  <si>
    <t>28/05/2026</t>
  </si>
  <si>
    <t>Ofício nº 123/2026-Gabinete da Prefeita (28/05/2026), com anexos (Contrato CISAB-ZM nº 64/2025, Produto 1 e Produto 2 do PMSB, Lei Municipal nº 1.661/2011): PMSB em processo de atualização pelo Consórcio Intermunicipal de Saneamento Básico da Zona da Mata de Minas Gerais (CISAB-ZM), Contrato nº 64/2025 (12 meses, R$ 66.673,00, 7 produtos), com conclusão prevista para dezembro/2026. Produtos 1 (Plano de Trabalho/Parecer Técnico) e 2 (Diagnóstico) já entregues — Produto 2 em fase de análise e recebimento de contribuições. Metas progressivas de universalização (NR08) e indicadores operacionais Nível I/II (NR09) serão tratados no Produto 3 (Prognóstico e Propostas para a Universalização). Governança: a Lei Municipal nº 1.661/2011 instituiu o Fundo Municipal de Saneamento Básico (FMSB, art. 31, vinculado ao DEMAE) — não em efetivo funcionamento, segundo o ofício. Quanto ao órgão colegiado, a própria Lei (art. 25, I, e art. 26) atribui as competências deliberativas do Sistema Municipal de Gestão do Saneamento Básico ao Conselho Municipal de Saúde já existente — não cria um "Conselho Municipal de Saneamento Básico" autônomo, como descrito no ofício; separadamente, o art. 32 cria um "Conselho Gestor do FMSB" (Diretor do DEMAE, Secretário de Fazenda e um representante do Conselho de Saúde), de escopo restrito à gestão do Fundo. Município busca consolidar o atual Comitê Executivo do PMSB como instância de governança.</t>
  </si>
  <si>
    <t>Documento da resposta e anexos (Ofício 123/2026, Contrato CISAB-ZM 64/2025, Produto 1, Produto 2, Lei 1.661/2011) recebidos e incorporados a esta calculadora, substituindo a nota anterior que indicava conteúdo não disponível. Resposta versa sobre governança/situação do PMSB, não sobre dados primários de indicadores — não altera a Memória de Cálculo (ver nota metodológica da aba). O Produto 2 (Diagnóstico, CISAB-ZM) traz indicadores de referência próprios (IAA, ICA, IAE, ICE, NR9 Nível I) calculados a partir de SINISA 2024/2025 + Censo IBGE 2022 + VIGIAGUA — ver comentários nas células Base_Denominadores!F19 e NR9_Nivel_I!Q19 para o detalhe e a decisão pendente sobre eventual incorporação.</t>
  </si>
  <si>
    <t>430/2026</t>
  </si>
  <si>
    <t>431/2026</t>
  </si>
  <si>
    <t>432/2026</t>
  </si>
  <si>
    <t>433/2026</t>
  </si>
  <si>
    <t>434/2026</t>
  </si>
  <si>
    <t>15/06/2026</t>
  </si>
  <si>
    <t>Ofício 039/2026/DEMSUR-DG: PMSB revisado em 2020, sem metas NR08/09; nova revisão prevista para 2027-2028; COMSUR existente (Lei nº 7.443/2025); fundo específico não identificado.</t>
  </si>
  <si>
    <t>Resposta completa ao questionário-modelo; ainda sem metas/indicadores NR08-09.</t>
  </si>
  <si>
    <t>435/2026</t>
  </si>
  <si>
    <t>437/2026</t>
  </si>
  <si>
    <t>438/2026</t>
  </si>
  <si>
    <t>439/2026</t>
  </si>
  <si>
    <t>440/2026</t>
  </si>
  <si>
    <t>27/05/2026</t>
  </si>
  <si>
    <t>Ofício 235/SEMMA/2026: revisão do PMSB paralisada (possível regionalização via URSB); FMSB instituído (Lei nº 2.307/2017); CMSB regulamentado (Decreto nº 1.073/2025).</t>
  </si>
  <si>
    <t>Resposta qualitativa sobre governança/status do PMSB; sem dados primários de indicadores. Data da resposta reconciliada com a tabela oficial de controle (27/05/2026) — a data-tema do ofício 235/SEMMA/2026 é 26/05/2026.</t>
  </si>
  <si>
    <t>441/2026</t>
  </si>
  <si>
    <t>442/2026</t>
  </si>
  <si>
    <t>444/2026</t>
  </si>
  <si>
    <t>443/2026</t>
  </si>
  <si>
    <t>446/2026</t>
  </si>
  <si>
    <t>01/06/2026</t>
  </si>
  <si>
    <t>Procuradoria informa PMSB concluído/revisado (adequado à NR08/09), em fase de encaminhamento ao Legislativo para aprovação.</t>
  </si>
  <si>
    <t>Situação declarada, sem comprovação documental nem dados primários de indicadores.</t>
  </si>
  <si>
    <t>447/2026</t>
  </si>
  <si>
    <t>448/2026</t>
  </si>
  <si>
    <t>449/2026</t>
  </si>
  <si>
    <t>450/2026</t>
  </si>
  <si>
    <t>Respondeu – sem dados</t>
  </si>
  <si>
    <t>26/05/2026</t>
  </si>
  <si>
    <t>Procuradoria-Geral apenas acusou o recebimento e encaminhou à Secretaria de Serviços Integrados para resposta técnica.</t>
  </si>
  <si>
    <t>Resposta técnica ainda pendente; reiterar cobrança.</t>
  </si>
  <si>
    <t>445/2026</t>
  </si>
  <si>
    <t>06/07/2026</t>
  </si>
  <si>
    <t>Ofício 348/SAAE.PRES/2026 (ref. do SAAE): PMSB instituído pelo Decreto Municipal nº 5.346/2015; Conselho Municipal de Controle Social instituído pela Lei nº 8.610/2016. Regulação pela ARIS-MG iniciada apenas em 2026. SAAE solicita orientação técnica sobre a estrutura de governança antes de iniciar a revisão do PMSB: (i) apenas reinstituir/recompor o Conselho na lei vigente; (ii) revisar previamente a Lei nº 8.610/2016 adequando composição e competências; (iii) outro procedimento que a ARIS-MG entenda adequado.</t>
  </si>
  <si>
    <t>Município incorporado a esta calculadora. Tem registro em SINISA 2024/2023 (água e esgoto), o que permite calcular indicadores NR9; não possui denominador do layout ANA/SASB (não integrava o ciclo anterior), o que mantém IAA/ICA/IAE/ICE como "denominador ausente" até definição da fonte.</t>
  </si>
  <si>
    <t>436/2026</t>
  </si>
  <si>
    <t>420/2026</t>
  </si>
  <si>
    <t>451/2026</t>
  </si>
  <si>
    <t>Taxonomia própria de manifestação (não se confunde com "Confiabilidade dos dados", ver aba Resultados/Diagnostico): "Não enviado/não localizado" é o padrão até haver comprovação de envio — evita presumir silêncio de município que talvez nunca tenha sido oficialmente notificado.</t>
  </si>
  <si>
    <t>IMPORTANTE: os ofícios recebidos até agora versam sobre a situação do PMSB e adequação à NR08/NR09 (governança, metas, revisão) — NÃO sobre dados primários de indicadores (numeradores SINISA). Por isso, mesmo "Respondeu – integralmente" aqui não altera os valores da Memória de Cálculo por si só; alimenta apenas a seção de governança do relatório.</t>
  </si>
  <si>
    <t>RESULTADOS CONSOLIDADOS — INDICADORES DE UNIVERSALIZAÇÃO (NR8) — ANO-BASE 2024</t>
  </si>
  <si>
    <t>Situação IAA</t>
  </si>
  <si>
    <t>Situação ICA</t>
  </si>
  <si>
    <t>Situação IAE</t>
  </si>
  <si>
    <t>Situação ICE</t>
  </si>
  <si>
    <t>Apto IAA</t>
  </si>
  <si>
    <t>Apto ICA</t>
  </si>
  <si>
    <t>Apto IAE</t>
  </si>
  <si>
    <t>Apto ICE</t>
  </si>
  <si>
    <t>Meta de água (IAA e ICA ≥ 99%)</t>
  </si>
  <si>
    <t>Meta de esgoto (IAE e ICE ≥ 90%)</t>
  </si>
  <si>
    <t>Confiabilidade dos dados</t>
  </si>
  <si>
    <t>SÍNTESE</t>
  </si>
  <si>
    <t>IAA calculado (Apto = Sim)</t>
  </si>
  <si>
    <t>ICA calculado (Apto = Sim)</t>
  </si>
  <si>
    <t>IAE calculado (Apto = Sim)</t>
  </si>
  <si>
    <t>ICE calculado (Apto = Sim)</t>
  </si>
  <si>
    <t>Meta de água atingida</t>
  </si>
  <si>
    <t>Meta de água não avaliável (ressalva/inconsistência)</t>
  </si>
  <si>
    <t>Meta de esgoto atingida</t>
  </si>
  <si>
    <t>Meta de esgoto não avaliável (ressalva/inconsistência)</t>
  </si>
  <si>
    <t>Confiabilidade — informação primária indisponível</t>
  </si>
  <si>
    <t>Confiabilidade — aguardando testes de controle (art. 18, NR9)</t>
  </si>
  <si>
    <t>Municípios não enviados/não localizados (ofício)</t>
  </si>
  <si>
    <t>NR9 — INDICADORES OPERACIONAIS NÍVEL I E II — ANO-BASE 2024 (VER LEGENDA NUMERADA AO FINAL DA ABA)</t>
  </si>
  <si>
    <t>Vol. produzido</t>
  </si>
  <si>
    <t>Ligações ativas (2024)</t>
  </si>
  <si>
    <t>Ligações ativas (2023)</t>
  </si>
  <si>
    <t>Índice de perdas I-01 (L/lig./dia)</t>
  </si>
  <si>
    <t>Situação I-01</t>
  </si>
  <si>
    <t>Econ. ativas de água (2024)</t>
  </si>
  <si>
    <t>Econ. ativas de água (2023)</t>
  </si>
  <si>
    <t>Índice de intermitência água I-04</t>
  </si>
  <si>
    <t>Situação I-04</t>
  </si>
  <si>
    <t>Amostras coliformes analisadas</t>
  </si>
  <si>
    <t>Amostras dentro do padrão</t>
  </si>
  <si>
    <t>Índice coliformes I-02</t>
  </si>
  <si>
    <t>Situação I-02</t>
  </si>
  <si>
    <t>Amostras DBO analisadas</t>
  </si>
  <si>
    <t>Índice DBO I-03</t>
  </si>
  <si>
    <t>Situação I-03</t>
  </si>
  <si>
    <t>Duração média reparos (h) — Nível II-03</t>
  </si>
  <si>
    <t>Situação II-03</t>
  </si>
  <si>
    <t>Reclamações de extravasamento (2024)</t>
  </si>
  <si>
    <t>Extensão de rede esgoto (km) — 2024</t>
  </si>
  <si>
    <t>Extensão de rede esgoto (km) — 2023</t>
  </si>
  <si>
    <t>Índice intermitência esgoto I-05 (registros/km)</t>
  </si>
  <si>
    <t>Situação I-05</t>
  </si>
  <si>
    <t>LEGENDA NUMERADA — POR QUE ALGUNS INDICADORES NÃO FORAM CALCULADOS</t>
  </si>
  <si>
    <t>1) I-01 e I-04 (água) exigem a MÉDIA entre o ano-base (2024) e o ano anterior (2023) e a presença de registro de água em 2024. Cobertos em 36/40 municípios (faltam: Chalé, Jampruca, Manhumirim, Oratórios). I-05 (esgoto) exige o mesmo para a extensão de rede: coberto em 34/40 (faltam: Brás Pires, Chalé, Jampruca, Manhumirim, Taparuba, Tocantins). Onde falta, o indicador fica "Não calculado" — ausência de série histórica ou de registro em 2024, não necessariamente falha do prestador.</t>
  </si>
  <si>
    <t>2) I-02 (coliformes) e I-03 (DBO): nenhuma das sete planilhas SINISA contém o módulo de qualidade. Classificados como insatisfatórios para 100% dos municípios; dado deve ser obtido diretamente do prestador ou da vigilância sanitária e lançado nas colunas amarelas.</t>
  </si>
  <si>
    <t>3) Nível II-03 (duração média de reparos): calculado só quando há extravasamentos reparados no SINISA; ausência de registro = insatisfatório, não "zero problemas".</t>
  </si>
  <si>
    <t>4) "Ressalva – parcela ausente = zero": uma ou mais parcelas do numerador de I-01 (importado/não faturado/consumido/exportado) não foram informadas e, por convenção, tratadas como zero — tende a SUBESTIMAR o índice de perdas.</t>
  </si>
  <si>
    <t>5) Município cujo prestador de água ou esgoto não consta no SINISA 2024 (aba Base_SINISA_Agua/Esgoto, coluna C = "Ausente") tem todos os indicadores desta aba insatisfatórios.</t>
  </si>
  <si>
    <t>6) Conforme o Manual da NR9, o índice de intermitência (I-04) PODE superar 100%, pois uma mesma economia pode ser atingida mais de uma vez por paralisações/interrupções — isso NÃO é erro e não deve ser tratado com a mesma regra de "&gt;100% = inconsistência" usada para IAA/ICA/IAE/ICE.</t>
  </si>
  <si>
    <t>7) I-05 (intermitência do esgotamento sanitário) é novo nesta versão. Unidade: registros de extravasamento por km de rede — não é percentual, não tem teto de 100%.</t>
  </si>
  <si>
    <t>DIAGNÓSTICO DE CONSISTÊNCIA E CONFIABILIDADE DAS INFORMAÇÕES</t>
  </si>
  <si>
    <t>Registro água</t>
  </si>
  <si>
    <t>Registro esgoto</t>
  </si>
  <si>
    <t>Campos ausentes (água)</t>
  </si>
  <si>
    <t>Campos ausentes (esgoto)</t>
  </si>
  <si>
    <t>Denominador IAA/IAE</t>
  </si>
  <si>
    <t>Denominador ICA/ICE</t>
  </si>
  <si>
    <t>Situação do denominador</t>
  </si>
  <si>
    <t>Respondeu Módulo GM</t>
  </si>
  <si>
    <t>Consistência água urb.</t>
  </si>
  <si>
    <t>Consistência água rural</t>
  </si>
  <si>
    <t>Consistência esgoto urb.</t>
  </si>
  <si>
    <t>Consistência esgoto rural</t>
  </si>
  <si>
    <t>Alerta de coerência ICA/IAA</t>
  </si>
  <si>
    <t>Alerta de coerência ICE/IAE</t>
  </si>
  <si>
    <t>Alerta de consistência (&gt;100%)</t>
  </si>
  <si>
    <t>Coleta esgoto sem tratamento</t>
  </si>
  <si>
    <t>RESUMO — PROBLEMAS ESTRUTURAIS IDENTIFICADOS (auditoria de 03/08/2026)</t>
  </si>
  <si>
    <t>Sem registro do prestador na base de ÁGUA</t>
  </si>
  <si>
    <t>Sem registro do prestador na base de ESGOTO</t>
  </si>
  <si>
    <t>Sem registro em NENHUMA das duas bases técnicas</t>
  </si>
  <si>
    <t>Não respondeu ao Módulo Gestão Municipal (denominadores)</t>
  </si>
  <si>
    <t>Denominador ICA/ICE matematicamente incoerente</t>
  </si>
  <si>
    <t>Inconsistência residencial&gt;total (água ou esgoto, qualquer área)</t>
  </si>
  <si>
    <t>Os municípios correspondentes a cada contagem aparecem destacados em cinza (ausência) ou vermelho (incoerência de denominador) nas abas Base_SINISA_Agua, Base_SINISA_Esgoto e Base_Denominadores.</t>
  </si>
  <si>
    <t>VERIFICAÇÃO DE INTEGRIDADE — ALINHAMENTO DO CÓDIGO IBGE ENTRE ABAS</t>
  </si>
  <si>
    <t>Cód. IBGE (mestre)</t>
  </si>
  <si>
    <t>Município (mestre)</t>
  </si>
  <si>
    <t>Base_SINISA_Agua</t>
  </si>
  <si>
    <t>Base_SINISA_Esgoto</t>
  </si>
  <si>
    <t>Base_Denominadores</t>
  </si>
  <si>
    <t>Sol_Alternativas</t>
  </si>
  <si>
    <t>Base_SINISA_2023</t>
  </si>
  <si>
    <t>Base_SINISA_Esgoto_2023</t>
  </si>
  <si>
    <t>Controle_Oficios</t>
  </si>
  <si>
    <t>NR9_Nivel_I</t>
  </si>
  <si>
    <t>Resultados</t>
  </si>
  <si>
    <t>Diagnostico</t>
  </si>
  <si>
    <t>Total de divergências detectadas:</t>
  </si>
  <si>
    <t>AVISO METODOLÓGICO: a auditoria identificou que a calculadora depende de referências POSICIONAIS (mesma linha em todas as abas), e não de busca pelo Código IBGE (ex.: XLOOKUP/PROCX). Hoje as 40 linhas estão alinhadas e esta aba confirma isso a cada abertura — mas se alguém reordenar, filtrar ou inserir uma linha em qualquer aba manualmente, o Excel continuará calculando SEM AVISO VISÍVEL DE ERRO, podendo associar os dados de um município a outro. Esta aba é uma rede de segurança (detecta o problema), não uma correção estrutural — a correção definitiva exigiria reescrever as fórmulas com busca por Código IBGE, o que não foi feito nesta versão por ser uma refatoração de grande porte. Recomenda-se tratar isso como próximo item de evolução da calculadora.</t>
  </si>
  <si>
    <t xml:space="preserve">CALCULADORA DE INDICADORES NR8 / NR9 — ARIS-MG — Ano-base 2024 (SINISA)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</si>
</sst>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1" x14ac:knownFonts="1">
    <font>
      <sz val="11"/>
      <color theme="1"/>
      <name val="Calibri"/>
      <family val="2"/>
      <charset val="1"/>
    </font>
    <font>
      <b/>
      <sz val="14"/>
      <color rgb="FF1F3864"/>
      <name val="Arial"/>
      <charset val="1"/>
    </font>
    <font>
      <sz val="10"/>
      <name val="Arial"/>
      <charset val="1"/>
    </font>
    <font>
      <b/>
      <sz val="11"/>
      <color rgb="FF1F3864"/>
      <name val="Arial"/>
      <charset val="1"/>
    </font>
    <font>
      <b/>
      <sz val="10"/>
      <name val="Arial"/>
      <charset val="1"/>
    </font>
    <font>
      <i/>
      <sz val="9"/>
      <name val="Arial"/>
      <charset val="1"/>
    </font>
    <font>
      <b/>
      <sz val="9"/>
      <color rgb="FFFFFFFF"/>
      <name val="Arial"/>
      <charset val="1"/>
    </font>
    <font>
      <i/>
      <sz val="9"/>
      <color rgb="FF9C0006"/>
      <name val="Arial"/>
      <charset val="1"/>
    </font>
    <font>
      <sz val="10"/>
      <name val="Arial"/>
      <family val="2"/>
    </font>
    <font>
      <i/>
      <sz val="9"/>
      <color rgb="FF9C5700"/>
      <name val="Arial"/>
      <charset val="1"/>
    </font>
    <font>
      <b/>
      <sz val="11"/>
      <color rgb="FFC00000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EDEDED"/>
        <bgColor rgb="FFFCE4E4"/>
      </patternFill>
    </fill>
    <fill>
      <patternFill patternType="solid">
        <fgColor rgb="FFFCE4E4"/>
        <bgColor rgb="FFEDEDED"/>
      </patternFill>
    </fill>
    <fill>
      <patternFill patternType="solid">
        <fgColor rgb="FFFFF2CC"/>
        <bgColor rgb="FFFCE4E4"/>
      </patternFill>
    </fill>
    <fill>
      <patternFill patternType="solid">
        <fgColor rgb="FF2E75B6"/>
        <bgColor rgb="FF0066CC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hair">
        <color rgb="FFBFBFBF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5" fillId="0" borderId="0" xfId="0" applyFont="1" applyAlignment="1">
      <alignment vertical="top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164" fontId="2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7" fillId="0" borderId="0" xfId="0" applyFont="1"/>
    <xf numFmtId="0" fontId="2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/>
    </xf>
    <xf numFmtId="0" fontId="2" fillId="5" borderId="1" xfId="0" applyFont="1" applyFill="1" applyBorder="1" applyAlignment="1">
      <alignment horizontal="left" vertical="top" wrapText="1"/>
    </xf>
    <xf numFmtId="0" fontId="9" fillId="0" borderId="0" xfId="0" applyFont="1"/>
    <xf numFmtId="0" fontId="2" fillId="0" borderId="0" xfId="0" applyFont="1"/>
    <xf numFmtId="0" fontId="10" fillId="0" borderId="0" xfId="0" applyFont="1"/>
    <xf numFmtId="3" fontId="2" fillId="7" borderId="1" xfId="0" applyNumberFormat="1" applyFont="1" applyFill="1" applyBorder="1" applyAlignment="1">
      <alignment horizontal="center"/>
    </xf>
    <xf numFmtId="164" fontId="2" fillId="7" borderId="1" xfId="0" applyNumberFormat="1" applyFont="1" applyFill="1" applyBorder="1" applyAlignment="1">
      <alignment horizontal="center"/>
    </xf>
    <xf numFmtId="165" fontId="2" fillId="7" borderId="1" xfId="0" applyNumberFormat="1" applyFont="1" applyFill="1" applyBorder="1" applyAlignment="1">
      <alignment horizontal="center"/>
    </xf>
    <xf numFmtId="4" fontId="2" fillId="7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E4E4"/>
      <rgbColor rgb="FF2E75B6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56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8.6328125" defaultRowHeight="14.5" x14ac:dyDescent="0.35"/>
  <cols>
    <col min="1" max="1" width="10" customWidth="1"/>
    <col min="2" max="2" width="22" customWidth="1"/>
    <col min="3" max="3" width="10" customWidth="1"/>
    <col min="4" max="4" width="38" customWidth="1"/>
    <col min="5" max="5" width="10" customWidth="1"/>
    <col min="6" max="6" width="38" customWidth="1"/>
    <col min="7" max="7" width="10" customWidth="1"/>
    <col min="8" max="8" width="38" customWidth="1"/>
    <col min="9" max="9" width="10" customWidth="1"/>
    <col min="10" max="10" width="38" customWidth="1"/>
    <col min="11" max="14" width="10" customWidth="1"/>
    <col min="15" max="16" width="26" customWidth="1"/>
    <col min="17" max="17" width="50" customWidth="1"/>
    <col min="18" max="18" width="26" customWidth="1"/>
  </cols>
  <sheetData>
    <row r="1" spans="1:18" ht="17.25" customHeight="1" x14ac:dyDescent="0.4">
      <c r="A1" s="6" t="s">
        <v>333</v>
      </c>
    </row>
    <row r="2" spans="1:18" ht="45.75" customHeight="1" x14ac:dyDescent="0.35">
      <c r="A2" s="11" t="s">
        <v>63</v>
      </c>
      <c r="B2" s="11" t="s">
        <v>64</v>
      </c>
      <c r="C2" s="11" t="s">
        <v>228</v>
      </c>
      <c r="D2" s="11" t="s">
        <v>334</v>
      </c>
      <c r="E2" s="11" t="s">
        <v>238</v>
      </c>
      <c r="F2" s="11" t="s">
        <v>335</v>
      </c>
      <c r="G2" s="11" t="s">
        <v>244</v>
      </c>
      <c r="H2" s="11" t="s">
        <v>336</v>
      </c>
      <c r="I2" s="11" t="s">
        <v>250</v>
      </c>
      <c r="J2" s="11" t="s">
        <v>337</v>
      </c>
      <c r="K2" s="11" t="s">
        <v>338</v>
      </c>
      <c r="L2" s="11" t="s">
        <v>339</v>
      </c>
      <c r="M2" s="11" t="s">
        <v>340</v>
      </c>
      <c r="N2" s="11" t="s">
        <v>341</v>
      </c>
      <c r="O2" s="11" t="s">
        <v>342</v>
      </c>
      <c r="P2" s="11" t="s">
        <v>343</v>
      </c>
      <c r="Q2" s="11" t="s">
        <v>344</v>
      </c>
      <c r="R2" s="11" t="s">
        <v>256</v>
      </c>
    </row>
    <row r="3" spans="1:18" ht="15" customHeight="1" x14ac:dyDescent="0.35">
      <c r="A3" s="12">
        <v>3100302</v>
      </c>
      <c r="B3" s="12" t="s">
        <v>94</v>
      </c>
      <c r="C3" s="21">
        <f>'Memoria de calculo - NR8'!H4</f>
        <v>0.63802341734471124</v>
      </c>
      <c r="D3" s="13" t="str">
        <f>'Memoria de calculo - NR8'!I4</f>
        <v>Calculado</v>
      </c>
      <c r="E3" s="21" t="str">
        <f>'Memoria de calculo - NR8'!H47</f>
        <v>n.c.</v>
      </c>
      <c r="F3" s="13" t="str">
        <f>'Memoria de calculo - NR8'!I47</f>
        <v>Não calculado – denominador ausente</v>
      </c>
      <c r="G3" s="21">
        <f>'Memoria de calculo - NR8'!H90</f>
        <v>0</v>
      </c>
      <c r="H3" s="13" t="str">
        <f>'Memoria de calculo - NR8'!I90</f>
        <v>Calculado com ressalva – parcela ausente = zero</v>
      </c>
      <c r="I3" s="21" t="str">
        <f>'Memoria de calculo - NR8'!H133</f>
        <v>n.c.</v>
      </c>
      <c r="J3" s="13" t="str">
        <f>'Memoria de calculo - NR8'!I133</f>
        <v>Não calculado – denominador ausente</v>
      </c>
      <c r="K3" s="13" t="str">
        <f>'Memoria de calculo - NR8'!J4</f>
        <v>Sim</v>
      </c>
      <c r="L3" s="13" t="str">
        <f>'Memoria de calculo - NR8'!J47</f>
        <v>Não</v>
      </c>
      <c r="M3" s="13" t="str">
        <f>'Memoria de calculo - NR8'!J90</f>
        <v>Não</v>
      </c>
      <c r="N3" s="13" t="str">
        <f>'Memoria de calculo - NR8'!J133</f>
        <v>Não</v>
      </c>
      <c r="O3" s="13" t="str">
        <f>IF(NOT(AND(K3="Sim",L3="Sim")),"Não avaliável – resultado sujeito a ressalva/inconsistência",IF(AND(C3&gt;=Parametros!$C$6,E3&gt;=Parametros!$C$6),"Atingida","Não atingida"))</f>
        <v>Não avaliável – resultado sujeito a ressalva/inconsistência</v>
      </c>
      <c r="P3" s="13" t="str">
        <f>IF(NOT(AND(M3="Sim",N3="Sim")),"Não avaliável – resultado sujeito a ressalva/inconsistência",IF(AND(G3&gt;=Parametros!$C$7,I3&gt;=Parametros!$C$7),"Atingida","Não atingida"))</f>
        <v>Não avaliável – resultado sujeito a ressalva/inconsistência</v>
      </c>
      <c r="Q3" s="13" t="str">
        <f>IF(AND(Base_SINISA_Agua!$C3="Ausente",Base_SINISA_Esgoto!$C3="Ausente"),"Não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" s="13" t="str">
        <f>Controle_Oficios!G3</f>
        <v>Enviado – sem resposta</v>
      </c>
    </row>
    <row r="4" spans="1:18" ht="15" customHeight="1" x14ac:dyDescent="0.35">
      <c r="A4" s="12">
        <v>3100401</v>
      </c>
      <c r="B4" s="12" t="s">
        <v>97</v>
      </c>
      <c r="C4" s="21">
        <f>'Memoria de calculo - NR8'!H5</f>
        <v>1.286454957874271</v>
      </c>
      <c r="D4" s="13" t="str">
        <f>'Memoria de calculo - NR8'!I5</f>
        <v>Calculado</v>
      </c>
      <c r="E4" s="21">
        <f>'Memoria de calculo - NR8'!H48</f>
        <v>1.0162162162162163</v>
      </c>
      <c r="F4" s="13" t="str">
        <f>'Memoria de calculo - NR8'!I48</f>
        <v>Calculado</v>
      </c>
      <c r="G4" s="21">
        <f>'Memoria de calculo - NR8'!H91</f>
        <v>0</v>
      </c>
      <c r="H4" s="13" t="str">
        <f>'Memoria de calculo - NR8'!I91</f>
        <v>Calculado</v>
      </c>
      <c r="I4" s="21">
        <f>'Memoria de calculo - NR8'!H134</f>
        <v>0</v>
      </c>
      <c r="J4" s="13" t="str">
        <f>'Memoria de calculo - NR8'!I134</f>
        <v>Calculado</v>
      </c>
      <c r="K4" s="13" t="str">
        <f>'Memoria de calculo - NR8'!J5</f>
        <v>Sim</v>
      </c>
      <c r="L4" s="13" t="str">
        <f>'Memoria de calculo - NR8'!J48</f>
        <v>Sim</v>
      </c>
      <c r="M4" s="13" t="str">
        <f>'Memoria de calculo - NR8'!J91</f>
        <v>Sim</v>
      </c>
      <c r="N4" s="13" t="str">
        <f>'Memoria de calculo - NR8'!J134</f>
        <v>Sim</v>
      </c>
      <c r="O4" s="13" t="str">
        <f>IF(NOT(AND(K4="Sim",L4="Sim")),"Não avaliável – resultado sujeito a ressalva/inconsistência",IF(AND(C4&gt;=Parametros!$C$6,E4&gt;=Parametros!$C$6),"Atingida","Não atingida"))</f>
        <v>Atingida</v>
      </c>
      <c r="P4" s="13" t="str">
        <f>IF(NOT(AND(M4="Sim",N4="Sim")),"Não avaliável – resultado sujeito a ressalva/inconsistência",IF(AND(G4&gt;=Parametros!$C$7,I4&gt;=Parametros!$C$7),"Atingida","Não atingida"))</f>
        <v>Não atingida</v>
      </c>
      <c r="Q4" s="13" t="str">
        <f>IF(AND(Base_SINISA_Agua!$C4="Ausente",Base_SINISA_Esgoto!$C4="Ausente"),"Não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4" s="13" t="str">
        <f>Controle_Oficios!G4</f>
        <v>Enviado – sem resposta</v>
      </c>
    </row>
    <row r="5" spans="1:18" ht="15" customHeight="1" x14ac:dyDescent="0.35">
      <c r="A5" s="12">
        <v>3101102</v>
      </c>
      <c r="B5" s="12" t="s">
        <v>99</v>
      </c>
      <c r="C5" s="21">
        <f>'Memoria de calculo - NR8'!H6</f>
        <v>0.90398055302339719</v>
      </c>
      <c r="D5" s="13" t="str">
        <f>'Memoria de calculo - NR8'!I6</f>
        <v>Calculado</v>
      </c>
      <c r="E5" s="21">
        <f>'Memoria de calculo - NR8'!H49</f>
        <v>0.9698895686025264</v>
      </c>
      <c r="F5" s="13" t="str">
        <f>'Memoria de calculo - NR8'!I49</f>
        <v>Calculado</v>
      </c>
      <c r="G5" s="21">
        <f>'Memoria de calculo - NR8'!H92</f>
        <v>0.61176947229818701</v>
      </c>
      <c r="H5" s="13" t="str">
        <f>'Memoria de calculo - NR8'!I92</f>
        <v>Calculado com ressalva – parcela ausente = zero</v>
      </c>
      <c r="I5" s="21">
        <f>'Memoria de calculo - NR8'!H135</f>
        <v>0.52363549694128864</v>
      </c>
      <c r="J5" s="13" t="str">
        <f>'Memoria de calculo - NR8'!I135</f>
        <v>Calculado com ressalva – parcela ausente = zero</v>
      </c>
      <c r="K5" s="13" t="str">
        <f>'Memoria de calculo - NR8'!J6</f>
        <v>Sim</v>
      </c>
      <c r="L5" s="13" t="str">
        <f>'Memoria de calculo - NR8'!J49</f>
        <v>Sim</v>
      </c>
      <c r="M5" s="13" t="str">
        <f>'Memoria de calculo - NR8'!J92</f>
        <v>Não</v>
      </c>
      <c r="N5" s="13" t="str">
        <f>'Memoria de calculo - NR8'!J135</f>
        <v>Não</v>
      </c>
      <c r="O5" s="13" t="str">
        <f>IF(NOT(AND(K5="Sim",L5="Sim")),"Não avaliável – resultado sujeito a ressalva/inconsistência",IF(AND(C5&gt;=Parametros!$C$6,E5&gt;=Parametros!$C$6),"Atingida","Não atingida"))</f>
        <v>Não atingida</v>
      </c>
      <c r="P5" s="13" t="str">
        <f>IF(NOT(AND(M5="Sim",N5="Sim")),"Não avaliável – resultado sujeito a ressalva/inconsistência",IF(AND(G5&gt;=Parametros!$C$7,I5&gt;=Parametros!$C$7),"Atingida","Não atingida"))</f>
        <v>Não avaliável – resultado sujeito a ressalva/inconsistência</v>
      </c>
      <c r="Q5" s="13" t="str">
        <f>IF(AND(Base_SINISA_Agua!$C5="Ausente",Base_SINISA_Esgoto!$C5="Ausente"),"Não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5" s="13" t="str">
        <f>Controle_Oficios!G5</f>
        <v>Enviado – sem resposta</v>
      </c>
    </row>
    <row r="6" spans="1:18" ht="15" customHeight="1" x14ac:dyDescent="0.35">
      <c r="A6" s="12">
        <v>3108701</v>
      </c>
      <c r="B6" s="12" t="s">
        <v>100</v>
      </c>
      <c r="C6" s="21" t="str">
        <f>'Memoria de calculo - NR8'!H7</f>
        <v>n.c.</v>
      </c>
      <c r="D6" s="13" t="str">
        <f>'Memoria de calculo - NR8'!I7</f>
        <v>Não calculado – denominador ausente</v>
      </c>
      <c r="E6" s="21" t="str">
        <f>'Memoria de calculo - NR8'!H50</f>
        <v>n.c.</v>
      </c>
      <c r="F6" s="13" t="str">
        <f>'Memoria de calculo - NR8'!I50</f>
        <v>Não calculado – denominador ausente</v>
      </c>
      <c r="G6" s="21" t="str">
        <f>'Memoria de calculo - NR8'!H93</f>
        <v>n.c.</v>
      </c>
      <c r="H6" s="13" t="str">
        <f>'Memoria de calculo - NR8'!I93</f>
        <v>Insatisfatório – prestador ausente</v>
      </c>
      <c r="I6" s="21" t="str">
        <f>'Memoria de calculo - NR8'!H136</f>
        <v>n.c.</v>
      </c>
      <c r="J6" s="13" t="str">
        <f>'Memoria de calculo - NR8'!I136</f>
        <v>Insatisfatório – prestador ausente</v>
      </c>
      <c r="K6" s="13" t="str">
        <f>'Memoria de calculo - NR8'!J7</f>
        <v>Não</v>
      </c>
      <c r="L6" s="13" t="str">
        <f>'Memoria de calculo - NR8'!J50</f>
        <v>Não</v>
      </c>
      <c r="M6" s="13" t="str">
        <f>'Memoria de calculo - NR8'!J93</f>
        <v>Não</v>
      </c>
      <c r="N6" s="13" t="str">
        <f>'Memoria de calculo - NR8'!J136</f>
        <v>Não</v>
      </c>
      <c r="O6" s="13" t="str">
        <f>IF(NOT(AND(K6="Sim",L6="Sim")),"Não avaliável – resultado sujeito a ressalva/inconsistência",IF(AND(C6&gt;=Parametros!$C$6,E6&gt;=Parametros!$C$6),"Atingida","Não atingida"))</f>
        <v>Não avaliável – resultado sujeito a ressalva/inconsistência</v>
      </c>
      <c r="P6" s="13" t="str">
        <f>IF(NOT(AND(M6="Sim",N6="Sim")),"Não avaliável – resultado sujeito a ressalva/inconsistência",IF(AND(G6&gt;=Parametros!$C$7,I6&gt;=Parametros!$C$7),"Atingida","Não atingida"))</f>
        <v>Não avaliável – resultado sujeito a ressalva/inconsistência</v>
      </c>
      <c r="Q6" s="13" t="str">
        <f>IF(AND(Base_SINISA_Agua!$C6="Ausente",Base_SINISA_Esgoto!$C6="Ausente"),"Não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6" s="13" t="str">
        <f>Controle_Oficios!G6</f>
        <v>Não enviado/não localizado</v>
      </c>
    </row>
    <row r="7" spans="1:18" ht="15" customHeight="1" x14ac:dyDescent="0.35">
      <c r="A7" s="12">
        <v>3113107</v>
      </c>
      <c r="B7" s="12" t="s">
        <v>102</v>
      </c>
      <c r="C7" s="21">
        <f>'Memoria de calculo - NR8'!H8</f>
        <v>1.0141911069063387</v>
      </c>
      <c r="D7" s="13" t="str">
        <f>'Memoria de calculo - NR8'!I8</f>
        <v>Calculado</v>
      </c>
      <c r="E7" s="21" t="str">
        <f>'Memoria de calculo - NR8'!H51</f>
        <v>n.c.</v>
      </c>
      <c r="F7" s="13" t="str">
        <f>'Memoria de calculo - NR8'!I51</f>
        <v>Não calculado – denominador ausente</v>
      </c>
      <c r="G7" s="21">
        <f>'Memoria de calculo - NR8'!H94</f>
        <v>0</v>
      </c>
      <c r="H7" s="13" t="str">
        <f>'Memoria de calculo - NR8'!I94</f>
        <v>Calculado com ressalva – parcela ausente = zero</v>
      </c>
      <c r="I7" s="21" t="str">
        <f>'Memoria de calculo - NR8'!H137</f>
        <v>n.c.</v>
      </c>
      <c r="J7" s="13" t="str">
        <f>'Memoria de calculo - NR8'!I137</f>
        <v>Não calculado – denominador ausente</v>
      </c>
      <c r="K7" s="13" t="str">
        <f>'Memoria de calculo - NR8'!J8</f>
        <v>Sim</v>
      </c>
      <c r="L7" s="13" t="str">
        <f>'Memoria de calculo - NR8'!J51</f>
        <v>Não</v>
      </c>
      <c r="M7" s="13" t="str">
        <f>'Memoria de calculo - NR8'!J94</f>
        <v>Não</v>
      </c>
      <c r="N7" s="13" t="str">
        <f>'Memoria de calculo - NR8'!J137</f>
        <v>Não</v>
      </c>
      <c r="O7" s="13" t="str">
        <f>IF(NOT(AND(K7="Sim",L7="Sim")),"Não avaliável – resultado sujeito a ressalva/inconsistência",IF(AND(C7&gt;=Parametros!$C$6,E7&gt;=Parametros!$C$6),"Atingida","Não atingida"))</f>
        <v>Não avaliável – resultado sujeito a ressalva/inconsistência</v>
      </c>
      <c r="P7" s="13" t="str">
        <f>IF(NOT(AND(M7="Sim",N7="Sim")),"Não avaliável – resultado sujeito a ressalva/inconsistência",IF(AND(G7&gt;=Parametros!$C$7,I7&gt;=Parametros!$C$7),"Atingida","Não atingida"))</f>
        <v>Não avaliável – resultado sujeito a ressalva/inconsistência</v>
      </c>
      <c r="Q7" s="13" t="str">
        <f>IF(AND(Base_SINISA_Agua!$C7="Ausente",Base_SINISA_Esgoto!$C7="Ausente"),"Não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7" s="13" t="str">
        <f>Controle_Oficios!G7</f>
        <v>Respondeu – parcialmente</v>
      </c>
    </row>
    <row r="8" spans="1:18" ht="15" customHeight="1" x14ac:dyDescent="0.35">
      <c r="A8" s="12">
        <v>3113305</v>
      </c>
      <c r="B8" s="12" t="s">
        <v>104</v>
      </c>
      <c r="C8" s="21">
        <f>'Memoria de calculo - NR8'!H9</f>
        <v>0.93192169396723934</v>
      </c>
      <c r="D8" s="13" t="str">
        <f>'Memoria de calculo - NR8'!I9</f>
        <v>Calculado</v>
      </c>
      <c r="E8" s="21" t="str">
        <f>'Memoria de calculo - NR8'!H52</f>
        <v>n.c.</v>
      </c>
      <c r="F8" s="13" t="str">
        <f>'Memoria de calculo - NR8'!I52</f>
        <v>Não avaliável – denominador incoerente (ver auditoria)</v>
      </c>
      <c r="G8" s="21">
        <f>'Memoria de calculo - NR8'!H95</f>
        <v>8.7255293647622856E-2</v>
      </c>
      <c r="H8" s="13" t="str">
        <f>'Memoria de calculo - NR8'!I95</f>
        <v>Calculado</v>
      </c>
      <c r="I8" s="21" t="str">
        <f>'Memoria de calculo - NR8'!H138</f>
        <v>n.c.</v>
      </c>
      <c r="J8" s="13" t="str">
        <f>'Memoria de calculo - NR8'!I138</f>
        <v>Não avaliável – denominador incoerente (ver auditoria)</v>
      </c>
      <c r="K8" s="13" t="str">
        <f>'Memoria de calculo - NR8'!J9</f>
        <v>Sim</v>
      </c>
      <c r="L8" s="13" t="str">
        <f>'Memoria de calculo - NR8'!J52</f>
        <v>Não</v>
      </c>
      <c r="M8" s="13" t="str">
        <f>'Memoria de calculo - NR8'!J95</f>
        <v>Sim</v>
      </c>
      <c r="N8" s="13" t="str">
        <f>'Memoria de calculo - NR8'!J138</f>
        <v>Não</v>
      </c>
      <c r="O8" s="13" t="str">
        <f>IF(NOT(AND(K8="Sim",L8="Sim")),"Não avaliável – resultado sujeito a ressalva/inconsistência",IF(AND(C8&gt;=Parametros!$C$6,E8&gt;=Parametros!$C$6),"Atingida","Não atingida"))</f>
        <v>Não avaliável – resultado sujeito a ressalva/inconsistência</v>
      </c>
      <c r="P8" s="13" t="str">
        <f>IF(NOT(AND(M8="Sim",N8="Sim")),"Não avaliável – resultado sujeito a ressalva/inconsistência",IF(AND(G8&gt;=Parametros!$C$7,I8&gt;=Parametros!$C$7),"Atingida","Não atingida"))</f>
        <v>Não avaliável – resultado sujeito a ressalva/inconsistência</v>
      </c>
      <c r="Q8" s="13" t="str">
        <f>IF(AND(Base_SINISA_Agua!$C8="Ausente",Base_SINISA_Esgoto!$C8="Ausente"),"Não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8" s="13" t="str">
        <f>Controle_Oficios!G8</f>
        <v>Enviado – sem resposta</v>
      </c>
    </row>
    <row r="9" spans="1:18" ht="15" customHeight="1" x14ac:dyDescent="0.35">
      <c r="A9" s="12">
        <v>3116001</v>
      </c>
      <c r="B9" s="12" t="s">
        <v>106</v>
      </c>
      <c r="C9" s="21" t="str">
        <f>'Memoria de calculo - NR8'!H10</f>
        <v>n.c.</v>
      </c>
      <c r="D9" s="13" t="str">
        <f>'Memoria de calculo - NR8'!I10</f>
        <v>Insatisfatório – prestador ausente</v>
      </c>
      <c r="E9" s="21" t="str">
        <f>'Memoria de calculo - NR8'!H53</f>
        <v>n.c.</v>
      </c>
      <c r="F9" s="13" t="str">
        <f>'Memoria de calculo - NR8'!I53</f>
        <v>Insatisfatório – prestador ausente</v>
      </c>
      <c r="G9" s="21" t="str">
        <f>'Memoria de calculo - NR8'!H96</f>
        <v>n.c.</v>
      </c>
      <c r="H9" s="13" t="str">
        <f>'Memoria de calculo - NR8'!I96</f>
        <v>Insatisfatório – prestador ausente</v>
      </c>
      <c r="I9" s="21" t="str">
        <f>'Memoria de calculo - NR8'!H139</f>
        <v>n.c.</v>
      </c>
      <c r="J9" s="13" t="str">
        <f>'Memoria de calculo - NR8'!I139</f>
        <v>Insatisfatório – prestador ausente</v>
      </c>
      <c r="K9" s="13" t="str">
        <f>'Memoria de calculo - NR8'!J10</f>
        <v>Não</v>
      </c>
      <c r="L9" s="13" t="str">
        <f>'Memoria de calculo - NR8'!J53</f>
        <v>Não</v>
      </c>
      <c r="M9" s="13" t="str">
        <f>'Memoria de calculo - NR8'!J96</f>
        <v>Não</v>
      </c>
      <c r="N9" s="13" t="str">
        <f>'Memoria de calculo - NR8'!J139</f>
        <v>Não</v>
      </c>
      <c r="O9" s="13" t="str">
        <f>IF(NOT(AND(K9="Sim",L9="Sim")),"Não avaliável – resultado sujeito a ressalva/inconsistência",IF(AND(C9&gt;=Parametros!$C$6,E9&gt;=Parametros!$C$6),"Atingida","Não atingida"))</f>
        <v>Não avaliável – resultado sujeito a ressalva/inconsistência</v>
      </c>
      <c r="P9" s="13" t="str">
        <f>IF(NOT(AND(M9="Sim",N9="Sim")),"Não avaliável – resultado sujeito a ressalva/inconsistência",IF(AND(G9&gt;=Parametros!$C$7,I9&gt;=Parametros!$C$7),"Atingida","Não atingida"))</f>
        <v>Não avaliável – resultado sujeito a ressalva/inconsistência</v>
      </c>
      <c r="Q9" s="13" t="str">
        <f>IF(AND(Base_SINISA_Agua!$C9="Ausente",Base_SINISA_Esgoto!$C9="Ausente"),"Não avaliada – informação primária indisponível","Não avaliada – ausência de elementos suficientes para aplicação dos testes de controle")</f>
        <v>Não avaliada – informação primária indisponível</v>
      </c>
      <c r="R9" s="13" t="str">
        <f>Controle_Oficios!G9</f>
        <v>Enviado – sem resposta</v>
      </c>
    </row>
    <row r="10" spans="1:18" ht="15" customHeight="1" x14ac:dyDescent="0.35">
      <c r="A10" s="12">
        <v>3118403</v>
      </c>
      <c r="B10" s="12" t="s">
        <v>108</v>
      </c>
      <c r="C10" s="21">
        <f>'Memoria de calculo - NR8'!H11</f>
        <v>0.95307881773399017</v>
      </c>
      <c r="D10" s="13" t="str">
        <f>'Memoria de calculo - NR8'!I11</f>
        <v>Calculado</v>
      </c>
      <c r="E10" s="21" t="str">
        <f>'Memoria de calculo - NR8'!H54</f>
        <v>n.c.</v>
      </c>
      <c r="F10" s="13" t="str">
        <f>'Memoria de calculo - NR8'!I54</f>
        <v>Não avaliável – denominador incoerente (ver auditoria)</v>
      </c>
      <c r="G10" s="21">
        <f>'Memoria de calculo - NR8'!H97</f>
        <v>0</v>
      </c>
      <c r="H10" s="13" t="str">
        <f>'Memoria de calculo - NR8'!I97</f>
        <v>Calculado com ressalva – parcela ausente = zero</v>
      </c>
      <c r="I10" s="21" t="str">
        <f>'Memoria de calculo - NR8'!H140</f>
        <v>n.c.</v>
      </c>
      <c r="J10" s="13" t="str">
        <f>'Memoria de calculo - NR8'!I140</f>
        <v>Não avaliável – denominador incoerente (ver auditoria)</v>
      </c>
      <c r="K10" s="13" t="str">
        <f>'Memoria de calculo - NR8'!J11</f>
        <v>Sim</v>
      </c>
      <c r="L10" s="13" t="str">
        <f>'Memoria de calculo - NR8'!J54</f>
        <v>Não</v>
      </c>
      <c r="M10" s="13" t="str">
        <f>'Memoria de calculo - NR8'!J97</f>
        <v>Não</v>
      </c>
      <c r="N10" s="13" t="str">
        <f>'Memoria de calculo - NR8'!J140</f>
        <v>Não</v>
      </c>
      <c r="O10" s="13" t="str">
        <f>IF(NOT(AND(K10="Sim",L10="Sim")),"Não avaliável – resultado sujeito a ressalva/inconsistência",IF(AND(C10&gt;=Parametros!$C$6,E10&gt;=Parametros!$C$6),"Atingida","Não atingida"))</f>
        <v>Não avaliável – resultado sujeito a ressalva/inconsistência</v>
      </c>
      <c r="P10" s="13" t="str">
        <f>IF(NOT(AND(M10="Sim",N10="Sim")),"Não avaliável – resultado sujeito a ressalva/inconsistência",IF(AND(G10&gt;=Parametros!$C$7,I10&gt;=Parametros!$C$7),"Atingida","Não atingida"))</f>
        <v>Não avaliável – resultado sujeito a ressalva/inconsistência</v>
      </c>
      <c r="Q10" s="13" t="str">
        <f>IF(AND(Base_SINISA_Agua!$C10="Ausente",Base_SINISA_Esgoto!$C10="Ausente"),"Não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10" s="13" t="str">
        <f>Controle_Oficios!G10</f>
        <v>Enviado – sem resposta</v>
      </c>
    </row>
    <row r="11" spans="1:18" ht="15" customHeight="1" x14ac:dyDescent="0.35">
      <c r="A11" s="12">
        <v>3127701</v>
      </c>
      <c r="B11" s="12" t="s">
        <v>109</v>
      </c>
      <c r="C11" s="21">
        <f>'Memoria de calculo - NR8'!H12</f>
        <v>1.0446704212571631</v>
      </c>
      <c r="D11" s="13" t="str">
        <f>'Memoria de calculo - NR8'!I12</f>
        <v>Calculado</v>
      </c>
      <c r="E11" s="21">
        <f>'Memoria de calculo - NR8'!H55</f>
        <v>1.0152350440685958</v>
      </c>
      <c r="F11" s="13" t="str">
        <f>'Memoria de calculo - NR8'!I55</f>
        <v>Calculado</v>
      </c>
      <c r="G11" s="21">
        <f>'Memoria de calculo - NR8'!H98</f>
        <v>0</v>
      </c>
      <c r="H11" s="13" t="str">
        <f>'Memoria de calculo - NR8'!I98</f>
        <v>Calculado com ressalva – parcela ausente = zero</v>
      </c>
      <c r="I11" s="21">
        <f>'Memoria de calculo - NR8'!H141</f>
        <v>0</v>
      </c>
      <c r="J11" s="13" t="str">
        <f>'Memoria de calculo - NR8'!I141</f>
        <v>Calculado com ressalva – parcela ausente = zero</v>
      </c>
      <c r="K11" s="13" t="str">
        <f>'Memoria de calculo - NR8'!J12</f>
        <v>Sim</v>
      </c>
      <c r="L11" s="13" t="str">
        <f>'Memoria de calculo - NR8'!J55</f>
        <v>Sim</v>
      </c>
      <c r="M11" s="13" t="str">
        <f>'Memoria de calculo - NR8'!J98</f>
        <v>Não</v>
      </c>
      <c r="N11" s="13" t="str">
        <f>'Memoria de calculo - NR8'!J141</f>
        <v>Não</v>
      </c>
      <c r="O11" s="13" t="str">
        <f>IF(NOT(AND(K11="Sim",L11="Sim")),"Não avaliável – resultado sujeito a ressalva/inconsistência",IF(AND(C11&gt;=Parametros!$C$6,E11&gt;=Parametros!$C$6),"Atingida","Não atingida"))</f>
        <v>Atingida</v>
      </c>
      <c r="P11" s="13" t="str">
        <f>IF(NOT(AND(M11="Sim",N11="Sim")),"Não avaliável – resultado sujeito a ressalva/inconsistência",IF(AND(G11&gt;=Parametros!$C$7,I11&gt;=Parametros!$C$7),"Atingida","Não atingida"))</f>
        <v>Não avaliável – resultado sujeito a ressalva/inconsistência</v>
      </c>
      <c r="Q11" s="13" t="str">
        <f>IF(AND(Base_SINISA_Agua!$C11="Ausente",Base_SINISA_Esgoto!$C11="Ausente"),"Não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11" s="13" t="str">
        <f>Controle_Oficios!G11</f>
        <v>Enviado – sem resposta</v>
      </c>
    </row>
    <row r="12" spans="1:18" ht="15" customHeight="1" x14ac:dyDescent="0.35">
      <c r="A12" s="12">
        <v>3128402</v>
      </c>
      <c r="B12" s="12" t="s">
        <v>111</v>
      </c>
      <c r="C12" s="21" t="str">
        <f>'Memoria de calculo - NR8'!H13</f>
        <v>n.c.</v>
      </c>
      <c r="D12" s="13" t="str">
        <f>'Memoria de calculo - NR8'!I13</f>
        <v>Não calculado – denominador ausente</v>
      </c>
      <c r="E12" s="21" t="str">
        <f>'Memoria de calculo - NR8'!H56</f>
        <v>n.c.</v>
      </c>
      <c r="F12" s="13" t="str">
        <f>'Memoria de calculo - NR8'!I56</f>
        <v>Não calculado – denominador ausente</v>
      </c>
      <c r="G12" s="21" t="str">
        <f>'Memoria de calculo - NR8'!H99</f>
        <v>n.c.</v>
      </c>
      <c r="H12" s="13" t="str">
        <f>'Memoria de calculo - NR8'!I99</f>
        <v>Não calculado – denominador ausente</v>
      </c>
      <c r="I12" s="21" t="str">
        <f>'Memoria de calculo - NR8'!H142</f>
        <v>n.c.</v>
      </c>
      <c r="J12" s="13" t="str">
        <f>'Memoria de calculo - NR8'!I142</f>
        <v>Não calculado – denominador ausente</v>
      </c>
      <c r="K12" s="13" t="str">
        <f>'Memoria de calculo - NR8'!J13</f>
        <v>Não</v>
      </c>
      <c r="L12" s="13" t="str">
        <f>'Memoria de calculo - NR8'!J56</f>
        <v>Não</v>
      </c>
      <c r="M12" s="13" t="str">
        <f>'Memoria de calculo - NR8'!J99</f>
        <v>Não</v>
      </c>
      <c r="N12" s="13" t="str">
        <f>'Memoria de calculo - NR8'!J142</f>
        <v>Não</v>
      </c>
      <c r="O12" s="13" t="str">
        <f>IF(NOT(AND(K12="Sim",L12="Sim")),"Não avaliável – resultado sujeito a ressalva/inconsistência",IF(AND(C12&gt;=Parametros!$C$6,E12&gt;=Parametros!$C$6),"Atingida","Não atingida"))</f>
        <v>Não avaliável – resultado sujeito a ressalva/inconsistência</v>
      </c>
      <c r="P12" s="13" t="str">
        <f>IF(NOT(AND(M12="Sim",N12="Sim")),"Não avaliável – resultado sujeito a ressalva/inconsistência",IF(AND(G12&gt;=Parametros!$C$7,I12&gt;=Parametros!$C$7),"Atingida","Não atingida"))</f>
        <v>Não avaliável – resultado sujeito a ressalva/inconsistência</v>
      </c>
      <c r="Q12" s="13" t="str">
        <f>IF(AND(Base_SINISA_Agua!$C12="Ausente",Base_SINISA_Esgoto!$C12="Ausente"),"Não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12" s="13" t="str">
        <f>Controle_Oficios!G12</f>
        <v>Enviado – sem resposta</v>
      </c>
    </row>
    <row r="13" spans="1:18" ht="15" customHeight="1" x14ac:dyDescent="0.35">
      <c r="A13" s="12">
        <v>3131208</v>
      </c>
      <c r="B13" s="12" t="s">
        <v>113</v>
      </c>
      <c r="C13" s="21">
        <f>'Memoria de calculo - NR8'!H14</f>
        <v>0.95903954802259883</v>
      </c>
      <c r="D13" s="13" t="str">
        <f>'Memoria de calculo - NR8'!I14</f>
        <v>Calculado</v>
      </c>
      <c r="E13" s="21">
        <f>'Memoria de calculo - NR8'!H57</f>
        <v>1.0397238569488456</v>
      </c>
      <c r="F13" s="13" t="str">
        <f>'Memoria de calculo - NR8'!I57</f>
        <v>Calculado</v>
      </c>
      <c r="G13" s="21">
        <f>'Memoria de calculo - NR8'!H100</f>
        <v>0</v>
      </c>
      <c r="H13" s="13" t="str">
        <f>'Memoria de calculo - NR8'!I100</f>
        <v>Calculado</v>
      </c>
      <c r="I13" s="21">
        <f>'Memoria de calculo - NR8'!H143</f>
        <v>0</v>
      </c>
      <c r="J13" s="13" t="str">
        <f>'Memoria de calculo - NR8'!I143</f>
        <v>Calculado</v>
      </c>
      <c r="K13" s="13" t="str">
        <f>'Memoria de calculo - NR8'!J14</f>
        <v>Sim</v>
      </c>
      <c r="L13" s="13" t="str">
        <f>'Memoria de calculo - NR8'!J57</f>
        <v>Sim</v>
      </c>
      <c r="M13" s="13" t="str">
        <f>'Memoria de calculo - NR8'!J100</f>
        <v>Sim</v>
      </c>
      <c r="N13" s="13" t="str">
        <f>'Memoria de calculo - NR8'!J143</f>
        <v>Sim</v>
      </c>
      <c r="O13" s="13" t="str">
        <f>IF(NOT(AND(K13="Sim",L13="Sim")),"Não avaliável – resultado sujeito a ressalva/inconsistência",IF(AND(C13&gt;=Parametros!$C$6,E13&gt;=Parametros!$C$6),"Atingida","Não atingida"))</f>
        <v>Não atingida</v>
      </c>
      <c r="P13" s="13" t="str">
        <f>IF(NOT(AND(M13="Sim",N13="Sim")),"Não avaliável – resultado sujeito a ressalva/inconsistência",IF(AND(G13&gt;=Parametros!$C$7,I13&gt;=Parametros!$C$7),"Atingida","Não atingida"))</f>
        <v>Não atingida</v>
      </c>
      <c r="Q13" s="13" t="str">
        <f>IF(AND(Base_SINISA_Agua!$C13="Ausente",Base_SINISA_Esgoto!$C13="Ausente"),"Não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13" s="13" t="str">
        <f>Controle_Oficios!G13</f>
        <v>Enviado – sem resposta</v>
      </c>
    </row>
    <row r="14" spans="1:18" ht="15" customHeight="1" x14ac:dyDescent="0.35">
      <c r="A14" s="12">
        <v>3132701</v>
      </c>
      <c r="B14" s="12" t="s">
        <v>114</v>
      </c>
      <c r="C14" s="21">
        <f>'Memoria de calculo - NR8'!H15</f>
        <v>0.85316084289143768</v>
      </c>
      <c r="D14" s="13" t="str">
        <f>'Memoria de calculo - NR8'!I15</f>
        <v>Calculado</v>
      </c>
      <c r="E14" s="21" t="str">
        <f>'Memoria de calculo - NR8'!H58</f>
        <v>n.c.</v>
      </c>
      <c r="F14" s="13" t="str">
        <f>'Memoria de calculo - NR8'!I58</f>
        <v>Não avaliável – denominador incoerente (ver auditoria)</v>
      </c>
      <c r="G14" s="21">
        <f>'Memoria de calculo - NR8'!H101</f>
        <v>0</v>
      </c>
      <c r="H14" s="13" t="str">
        <f>'Memoria de calculo - NR8'!I101</f>
        <v>Calculado com ressalva – parcela ausente = zero</v>
      </c>
      <c r="I14" s="21" t="str">
        <f>'Memoria de calculo - NR8'!H144</f>
        <v>n.c.</v>
      </c>
      <c r="J14" s="13" t="str">
        <f>'Memoria de calculo - NR8'!I144</f>
        <v>Não avaliável – denominador incoerente (ver auditoria)</v>
      </c>
      <c r="K14" s="13" t="str">
        <f>'Memoria de calculo - NR8'!J15</f>
        <v>Sim</v>
      </c>
      <c r="L14" s="13" t="str">
        <f>'Memoria de calculo - NR8'!J58</f>
        <v>Não</v>
      </c>
      <c r="M14" s="13" t="str">
        <f>'Memoria de calculo - NR8'!J101</f>
        <v>Não</v>
      </c>
      <c r="N14" s="13" t="str">
        <f>'Memoria de calculo - NR8'!J144</f>
        <v>Não</v>
      </c>
      <c r="O14" s="13" t="str">
        <f>IF(NOT(AND(K14="Sim",L14="Sim")),"Não avaliável – resultado sujeito a ressalva/inconsistência",IF(AND(C14&gt;=Parametros!$C$6,E14&gt;=Parametros!$C$6),"Atingida","Não atingida"))</f>
        <v>Não avaliável – resultado sujeito a ressalva/inconsistência</v>
      </c>
      <c r="P14" s="13" t="str">
        <f>IF(NOT(AND(M14="Sim",N14="Sim")),"Não avaliável – resultado sujeito a ressalva/inconsistência",IF(AND(G14&gt;=Parametros!$C$7,I14&gt;=Parametros!$C$7),"Atingida","Não atingida"))</f>
        <v>Não avaliável – resultado sujeito a ressalva/inconsistência</v>
      </c>
      <c r="Q14" s="13" t="str">
        <f>IF(AND(Base_SINISA_Agua!$C14="Ausente",Base_SINISA_Esgoto!$C14="Ausente"),"Não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14" s="13" t="str">
        <f>Controle_Oficios!G14</f>
        <v>Enviado – sem resposta</v>
      </c>
    </row>
    <row r="15" spans="1:18" ht="15" customHeight="1" x14ac:dyDescent="0.35">
      <c r="A15" s="12">
        <v>3135076</v>
      </c>
      <c r="B15" s="12" t="s">
        <v>115</v>
      </c>
      <c r="C15" s="21">
        <f>'Memoria de calculo - NR8'!H16</f>
        <v>0.65567533291058977</v>
      </c>
      <c r="D15" s="13" t="str">
        <f>'Memoria de calculo - NR8'!I16</f>
        <v>Calculado</v>
      </c>
      <c r="E15" s="21" t="str">
        <f>'Memoria de calculo - NR8'!H59</f>
        <v>n.c.</v>
      </c>
      <c r="F15" s="13" t="str">
        <f>'Memoria de calculo - NR8'!I59</f>
        <v>Não calculado – denominador ausente</v>
      </c>
      <c r="G15" s="21" t="str">
        <f>'Memoria de calculo - NR8'!H102</f>
        <v>n.c.</v>
      </c>
      <c r="H15" s="13" t="str">
        <f>'Memoria de calculo - NR8'!I102</f>
        <v>Insatisfatório – prestador ausente</v>
      </c>
      <c r="I15" s="21" t="str">
        <f>'Memoria de calculo - NR8'!H145</f>
        <v>n.c.</v>
      </c>
      <c r="J15" s="13" t="str">
        <f>'Memoria de calculo - NR8'!I145</f>
        <v>Insatisfatório – prestador ausente</v>
      </c>
      <c r="K15" s="13" t="str">
        <f>'Memoria de calculo - NR8'!J16</f>
        <v>Sim</v>
      </c>
      <c r="L15" s="13" t="str">
        <f>'Memoria de calculo - NR8'!J59</f>
        <v>Não</v>
      </c>
      <c r="M15" s="13" t="str">
        <f>'Memoria de calculo - NR8'!J102</f>
        <v>Não</v>
      </c>
      <c r="N15" s="13" t="str">
        <f>'Memoria de calculo - NR8'!J145</f>
        <v>Não</v>
      </c>
      <c r="O15" s="13" t="str">
        <f>IF(NOT(AND(K15="Sim",L15="Sim")),"Não avaliável – resultado sujeito a ressalva/inconsistência",IF(AND(C15&gt;=Parametros!$C$6,E15&gt;=Parametros!$C$6),"Atingida","Não atingida"))</f>
        <v>Não avaliável – resultado sujeito a ressalva/inconsistência</v>
      </c>
      <c r="P15" s="13" t="str">
        <f>IF(NOT(AND(M15="Sim",N15="Sim")),"Não avaliável – resultado sujeito a ressalva/inconsistência",IF(AND(G15&gt;=Parametros!$C$7,I15&gt;=Parametros!$C$7),"Atingida","Não atingida"))</f>
        <v>Não avaliável – resultado sujeito a ressalva/inconsistência</v>
      </c>
      <c r="Q15" s="13" t="str">
        <f>IF(AND(Base_SINISA_Agua!$C15="Ausente",Base_SINISA_Esgoto!$C15="Ausente"),"Não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15" s="13" t="str">
        <f>Controle_Oficios!G15</f>
        <v>Enviado – sem resposta</v>
      </c>
    </row>
    <row r="16" spans="1:18" ht="15" customHeight="1" x14ac:dyDescent="0.35">
      <c r="A16" s="12">
        <v>3135407</v>
      </c>
      <c r="B16" s="12" t="s">
        <v>117</v>
      </c>
      <c r="C16" s="21">
        <f>'Memoria de calculo - NR8'!H17</f>
        <v>1.36545842217484</v>
      </c>
      <c r="D16" s="13" t="str">
        <f>'Memoria de calculo - NR8'!I17</f>
        <v>Calculado</v>
      </c>
      <c r="E16" s="21" t="str">
        <f>'Memoria de calculo - NR8'!H60</f>
        <v>n.c.</v>
      </c>
      <c r="F16" s="13" t="str">
        <f>'Memoria de calculo - NR8'!I60</f>
        <v>Não calculado – denominador ausente</v>
      </c>
      <c r="G16" s="21">
        <f>'Memoria de calculo - NR8'!H103</f>
        <v>0</v>
      </c>
      <c r="H16" s="13" t="str">
        <f>'Memoria de calculo - NR8'!I103</f>
        <v>Calculado com ressalva – parcela ausente = zero</v>
      </c>
      <c r="I16" s="21" t="str">
        <f>'Memoria de calculo - NR8'!H146</f>
        <v>n.c.</v>
      </c>
      <c r="J16" s="13" t="str">
        <f>'Memoria de calculo - NR8'!I146</f>
        <v>Não calculado – denominador ausente</v>
      </c>
      <c r="K16" s="13" t="str">
        <f>'Memoria de calculo - NR8'!J17</f>
        <v>Sim</v>
      </c>
      <c r="L16" s="13" t="str">
        <f>'Memoria de calculo - NR8'!J60</f>
        <v>Não</v>
      </c>
      <c r="M16" s="13" t="str">
        <f>'Memoria de calculo - NR8'!J103</f>
        <v>Não</v>
      </c>
      <c r="N16" s="13" t="str">
        <f>'Memoria de calculo - NR8'!J146</f>
        <v>Não</v>
      </c>
      <c r="O16" s="13" t="str">
        <f>IF(NOT(AND(K16="Sim",L16="Sim")),"Não avaliável – resultado sujeito a ressalva/inconsistência",IF(AND(C16&gt;=Parametros!$C$6,E16&gt;=Parametros!$C$6),"Atingida","Não atingida"))</f>
        <v>Não avaliável – resultado sujeito a ressalva/inconsistência</v>
      </c>
      <c r="P16" s="13" t="str">
        <f>IF(NOT(AND(M16="Sim",N16="Sim")),"Não avaliável – resultado sujeito a ressalva/inconsistência",IF(AND(G16&gt;=Parametros!$C$7,I16&gt;=Parametros!$C$7),"Atingida","Não atingida"))</f>
        <v>Não avaliável – resultado sujeito a ressalva/inconsistência</v>
      </c>
      <c r="Q16" s="13" t="str">
        <f>IF(AND(Base_SINISA_Agua!$C16="Ausente",Base_SINISA_Esgoto!$C16="Ausente"),"Não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16" s="13" t="str">
        <f>Controle_Oficios!G16</f>
        <v>Respondeu – parcialmente</v>
      </c>
    </row>
    <row r="17" spans="1:18" ht="15" customHeight="1" x14ac:dyDescent="0.35">
      <c r="A17" s="12">
        <v>3135506</v>
      </c>
      <c r="B17" s="12" t="s">
        <v>119</v>
      </c>
      <c r="C17" s="21">
        <f>'Memoria de calculo - NR8'!H18</f>
        <v>1.0164221589664988</v>
      </c>
      <c r="D17" s="13" t="str">
        <f>'Memoria de calculo - NR8'!I18</f>
        <v>Calculado</v>
      </c>
      <c r="E17" s="21">
        <f>'Memoria de calculo - NR8'!H61</f>
        <v>0.70056179775280902</v>
      </c>
      <c r="F17" s="13" t="str">
        <f>'Memoria de calculo - NR8'!I61</f>
        <v>Calculado</v>
      </c>
      <c r="G17" s="21">
        <f>'Memoria de calculo - NR8'!H104</f>
        <v>0</v>
      </c>
      <c r="H17" s="13" t="str">
        <f>'Memoria de calculo - NR8'!I104</f>
        <v>Calculado</v>
      </c>
      <c r="I17" s="21">
        <f>'Memoria de calculo - NR8'!H147</f>
        <v>0</v>
      </c>
      <c r="J17" s="13" t="str">
        <f>'Memoria de calculo - NR8'!I147</f>
        <v>Calculado</v>
      </c>
      <c r="K17" s="13" t="str">
        <f>'Memoria de calculo - NR8'!J18</f>
        <v>Sim</v>
      </c>
      <c r="L17" s="13" t="str">
        <f>'Memoria de calculo - NR8'!J61</f>
        <v>Sim</v>
      </c>
      <c r="M17" s="13" t="str">
        <f>'Memoria de calculo - NR8'!J104</f>
        <v>Sim</v>
      </c>
      <c r="N17" s="13" t="str">
        <f>'Memoria de calculo - NR8'!J147</f>
        <v>Sim</v>
      </c>
      <c r="O17" s="13" t="str">
        <f>IF(NOT(AND(K17="Sim",L17="Sim")),"Não avaliável – resultado sujeito a ressalva/inconsistência",IF(AND(C17&gt;=Parametros!$C$6,E17&gt;=Parametros!$C$6),"Atingida","Não atingida"))</f>
        <v>Não atingida</v>
      </c>
      <c r="P17" s="13" t="str">
        <f>IF(NOT(AND(M17="Sim",N17="Sim")),"Não avaliável – resultado sujeito a ressalva/inconsistência",IF(AND(G17&gt;=Parametros!$C$7,I17&gt;=Parametros!$C$7),"Atingida","Não atingida"))</f>
        <v>Não atingida</v>
      </c>
      <c r="Q17" s="13" t="str">
        <f>IF(AND(Base_SINISA_Agua!$C17="Ausente",Base_SINISA_Esgoto!$C17="Ausente"),"Não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17" s="13" t="str">
        <f>Controle_Oficios!G17</f>
        <v>Enviado – sem resposta</v>
      </c>
    </row>
    <row r="18" spans="1:18" ht="15" customHeight="1" x14ac:dyDescent="0.35">
      <c r="A18" s="12">
        <v>3137700</v>
      </c>
      <c r="B18" s="12" t="s">
        <v>121</v>
      </c>
      <c r="C18" s="21" t="str">
        <f>'Memoria de calculo - NR8'!H19</f>
        <v>n.c.</v>
      </c>
      <c r="D18" s="13" t="str">
        <f>'Memoria de calculo - NR8'!I19</f>
        <v>Não calculado – denominador ausente</v>
      </c>
      <c r="E18" s="21" t="str">
        <f>'Memoria de calculo - NR8'!H62</f>
        <v>n.c.</v>
      </c>
      <c r="F18" s="13" t="str">
        <f>'Memoria de calculo - NR8'!I62</f>
        <v>Não calculado – denominador ausente</v>
      </c>
      <c r="G18" s="21" t="str">
        <f>'Memoria de calculo - NR8'!H105</f>
        <v>n.c.</v>
      </c>
      <c r="H18" s="13" t="str">
        <f>'Memoria de calculo - NR8'!I105</f>
        <v>Não calculado – denominador ausente</v>
      </c>
      <c r="I18" s="21" t="str">
        <f>'Memoria de calculo - NR8'!H148</f>
        <v>n.c.</v>
      </c>
      <c r="J18" s="13" t="str">
        <f>'Memoria de calculo - NR8'!I148</f>
        <v>Não calculado – denominador ausente</v>
      </c>
      <c r="K18" s="13" t="str">
        <f>'Memoria de calculo - NR8'!J19</f>
        <v>Não</v>
      </c>
      <c r="L18" s="13" t="str">
        <f>'Memoria de calculo - NR8'!J62</f>
        <v>Não</v>
      </c>
      <c r="M18" s="13" t="str">
        <f>'Memoria de calculo - NR8'!J105</f>
        <v>Não</v>
      </c>
      <c r="N18" s="13" t="str">
        <f>'Memoria de calculo - NR8'!J148</f>
        <v>Não</v>
      </c>
      <c r="O18" s="13" t="str">
        <f>IF(NOT(AND(K18="Sim",L18="Sim")),"Não avaliável – resultado sujeito a ressalva/inconsistência",IF(AND(C18&gt;=Parametros!$C$6,E18&gt;=Parametros!$C$6),"Atingida","Não atingida"))</f>
        <v>Não avaliável – resultado sujeito a ressalva/inconsistência</v>
      </c>
      <c r="P18" s="13" t="str">
        <f>IF(NOT(AND(M18="Sim",N18="Sim")),"Não avaliável – resultado sujeito a ressalva/inconsistência",IF(AND(G18&gt;=Parametros!$C$7,I18&gt;=Parametros!$C$7),"Atingida","Não atingida"))</f>
        <v>Não avaliável – resultado sujeito a ressalva/inconsistência</v>
      </c>
      <c r="Q18" s="13" t="str">
        <f>IF(AND(Base_SINISA_Agua!$C18="Ausente",Base_SINISA_Esgoto!$C18="Ausente"),"Não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18" s="13" t="str">
        <f>Controle_Oficios!G18</f>
        <v>Enviado – sem resposta</v>
      </c>
    </row>
    <row r="19" spans="1:18" ht="15" customHeight="1" x14ac:dyDescent="0.35">
      <c r="A19" s="12">
        <v>3138609</v>
      </c>
      <c r="B19" s="12" t="s">
        <v>122</v>
      </c>
      <c r="C19" s="21">
        <f>'Memoria de calculo - NR8'!H20</f>
        <v>0.97261434217955955</v>
      </c>
      <c r="D19" s="13" t="str">
        <f>'Memoria de calculo - NR8'!I20</f>
        <v>Calculado</v>
      </c>
      <c r="E19" s="21" t="str">
        <f>'Memoria de calculo - NR8'!H63</f>
        <v>n.c.</v>
      </c>
      <c r="F19" s="13" t="str">
        <f>'Memoria de calculo - NR8'!I63</f>
        <v>Não calculado – denominador ausente</v>
      </c>
      <c r="G19" s="21">
        <f>'Memoria de calculo - NR8'!H106</f>
        <v>0</v>
      </c>
      <c r="H19" s="13" t="str">
        <f>'Memoria de calculo - NR8'!I106</f>
        <v>Calculado com ressalva – parcela ausente = zero</v>
      </c>
      <c r="I19" s="21" t="str">
        <f>'Memoria de calculo - NR8'!H149</f>
        <v>n.c.</v>
      </c>
      <c r="J19" s="13" t="str">
        <f>'Memoria de calculo - NR8'!I149</f>
        <v>Não calculado – denominador ausente</v>
      </c>
      <c r="K19" s="13" t="str">
        <f>'Memoria de calculo - NR8'!J20</f>
        <v>Sim</v>
      </c>
      <c r="L19" s="13" t="str">
        <f>'Memoria de calculo - NR8'!J63</f>
        <v>Não</v>
      </c>
      <c r="M19" s="13" t="str">
        <f>'Memoria de calculo - NR8'!J106</f>
        <v>Não</v>
      </c>
      <c r="N19" s="13" t="str">
        <f>'Memoria de calculo - NR8'!J149</f>
        <v>Não</v>
      </c>
      <c r="O19" s="13" t="str">
        <f>IF(NOT(AND(K19="Sim",L19="Sim")),"Não avaliável – resultado sujeito a ressalva/inconsistência",IF(AND(C19&gt;=Parametros!$C$6,E19&gt;=Parametros!$C$6),"Atingida","Não atingida"))</f>
        <v>Não avaliável – resultado sujeito a ressalva/inconsistência</v>
      </c>
      <c r="P19" s="13" t="str">
        <f>IF(NOT(AND(M19="Sim",N19="Sim")),"Não avaliável – resultado sujeito a ressalva/inconsistência",IF(AND(G19&gt;=Parametros!$C$7,I19&gt;=Parametros!$C$7),"Atingida","Não atingida"))</f>
        <v>Não avaliável – resultado sujeito a ressalva/inconsistência</v>
      </c>
      <c r="Q19" s="13" t="str">
        <f>IF(AND(Base_SINISA_Agua!$C19="Ausente",Base_SINISA_Esgoto!$C19="Ausente"),"Não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19" s="13" t="str">
        <f>Controle_Oficios!G19</f>
        <v>Respondeu – parcialmente</v>
      </c>
    </row>
    <row r="20" spans="1:18" ht="15" customHeight="1" x14ac:dyDescent="0.35">
      <c r="A20" s="12">
        <v>3139409</v>
      </c>
      <c r="B20" s="12" t="s">
        <v>123</v>
      </c>
      <c r="C20" s="21">
        <f>'Memoria de calculo - NR8'!H21</f>
        <v>0.80660377358490565</v>
      </c>
      <c r="D20" s="13" t="str">
        <f>'Memoria de calculo - NR8'!I21</f>
        <v>Calculado</v>
      </c>
      <c r="E20" s="21" t="str">
        <f>'Memoria de calculo - NR8'!H64</f>
        <v>n.c.</v>
      </c>
      <c r="F20" s="13" t="str">
        <f>'Memoria de calculo - NR8'!I64</f>
        <v>Não calculado – denominador ausente</v>
      </c>
      <c r="G20" s="21">
        <f>'Memoria de calculo - NR8'!H107</f>
        <v>0.73241852487135506</v>
      </c>
      <c r="H20" s="13" t="str">
        <f>'Memoria de calculo - NR8'!I107</f>
        <v>Calculado</v>
      </c>
      <c r="I20" s="21" t="str">
        <f>'Memoria de calculo - NR8'!H150</f>
        <v>n.c.</v>
      </c>
      <c r="J20" s="13" t="str">
        <f>'Memoria de calculo - NR8'!I150</f>
        <v>Não calculado – denominador ausente</v>
      </c>
      <c r="K20" s="13" t="str">
        <f>'Memoria de calculo - NR8'!J21</f>
        <v>Sim</v>
      </c>
      <c r="L20" s="13" t="str">
        <f>'Memoria de calculo - NR8'!J64</f>
        <v>Não</v>
      </c>
      <c r="M20" s="13" t="str">
        <f>'Memoria de calculo - NR8'!J107</f>
        <v>Sim</v>
      </c>
      <c r="N20" s="13" t="str">
        <f>'Memoria de calculo - NR8'!J150</f>
        <v>Não</v>
      </c>
      <c r="O20" s="13" t="str">
        <f>IF(NOT(AND(K20="Sim",L20="Sim")),"Não avaliável – resultado sujeito a ressalva/inconsistência",IF(AND(C20&gt;=Parametros!$C$6,E20&gt;=Parametros!$C$6),"Atingida","Não atingida"))</f>
        <v>Não avaliável – resultado sujeito a ressalva/inconsistência</v>
      </c>
      <c r="P20" s="13" t="str">
        <f>IF(NOT(AND(M20="Sim",N20="Sim")),"Não avaliável – resultado sujeito a ressalva/inconsistência",IF(AND(G20&gt;=Parametros!$C$7,I20&gt;=Parametros!$C$7),"Atingida","Não atingida"))</f>
        <v>Não avaliável – resultado sujeito a ressalva/inconsistência</v>
      </c>
      <c r="Q20" s="13" t="str">
        <f>IF(AND(Base_SINISA_Agua!$C20="Ausente",Base_SINISA_Esgoto!$C20="Ausente"),"Não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20" s="13" t="str">
        <f>Controle_Oficios!G20</f>
        <v>Enviado – sem resposta</v>
      </c>
    </row>
    <row r="21" spans="1:18" ht="15" customHeight="1" x14ac:dyDescent="0.35">
      <c r="A21" s="12">
        <v>3139508</v>
      </c>
      <c r="B21" s="12" t="s">
        <v>125</v>
      </c>
      <c r="C21" s="21">
        <f>'Memoria de calculo - NR8'!H22</f>
        <v>0.85721616420782554</v>
      </c>
      <c r="D21" s="13" t="str">
        <f>'Memoria de calculo - NR8'!I22</f>
        <v>Calculado</v>
      </c>
      <c r="E21" s="21" t="str">
        <f>'Memoria de calculo - NR8'!H65</f>
        <v>n.c.</v>
      </c>
      <c r="F21" s="13" t="str">
        <f>'Memoria de calculo - NR8'!I65</f>
        <v>Não calculado – denominador ausente</v>
      </c>
      <c r="G21" s="21">
        <f>'Memoria de calculo - NR8'!H108</f>
        <v>0.85028864656831304</v>
      </c>
      <c r="H21" s="13" t="str">
        <f>'Memoria de calculo - NR8'!I108</f>
        <v>Calculado com ressalva – parcela ausente = zero</v>
      </c>
      <c r="I21" s="21" t="str">
        <f>'Memoria de calculo - NR8'!H151</f>
        <v>n.c.</v>
      </c>
      <c r="J21" s="13" t="str">
        <f>'Memoria de calculo - NR8'!I151</f>
        <v>Não calculado – denominador ausente</v>
      </c>
      <c r="K21" s="13" t="str">
        <f>'Memoria de calculo - NR8'!J22</f>
        <v>Sim</v>
      </c>
      <c r="L21" s="13" t="str">
        <f>'Memoria de calculo - NR8'!J65</f>
        <v>Não</v>
      </c>
      <c r="M21" s="13" t="str">
        <f>'Memoria de calculo - NR8'!J108</f>
        <v>Não</v>
      </c>
      <c r="N21" s="13" t="str">
        <f>'Memoria de calculo - NR8'!J151</f>
        <v>Não</v>
      </c>
      <c r="O21" s="13" t="str">
        <f>IF(NOT(AND(K21="Sim",L21="Sim")),"Não avaliável – resultado sujeito a ressalva/inconsistência",IF(AND(C21&gt;=Parametros!$C$6,E21&gt;=Parametros!$C$6),"Atingida","Não atingida"))</f>
        <v>Não avaliável – resultado sujeito a ressalva/inconsistência</v>
      </c>
      <c r="P21" s="13" t="str">
        <f>IF(NOT(AND(M21="Sim",N21="Sim")),"Não avaliável – resultado sujeito a ressalva/inconsistência",IF(AND(G21&gt;=Parametros!$C$7,I21&gt;=Parametros!$C$7),"Atingida","Não atingida"))</f>
        <v>Não avaliável – resultado sujeito a ressalva/inconsistência</v>
      </c>
      <c r="Q21" s="13" t="str">
        <f>IF(AND(Base_SINISA_Agua!$C21="Ausente",Base_SINISA_Esgoto!$C21="Ausente"),"Não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21" s="13" t="str">
        <f>Controle_Oficios!G21</f>
        <v>Enviado – sem resposta</v>
      </c>
    </row>
    <row r="22" spans="1:18" ht="15" customHeight="1" x14ac:dyDescent="0.35">
      <c r="A22" s="12">
        <v>3139607</v>
      </c>
      <c r="B22" s="12" t="s">
        <v>126</v>
      </c>
      <c r="C22" s="21">
        <f>'Memoria de calculo - NR8'!H23</f>
        <v>0.8443850777597558</v>
      </c>
      <c r="D22" s="13" t="str">
        <f>'Memoria de calculo - NR8'!I23</f>
        <v>Calculado</v>
      </c>
      <c r="E22" s="21">
        <f>'Memoria de calculo - NR8'!H66</f>
        <v>1.0324841853308258</v>
      </c>
      <c r="F22" s="13" t="str">
        <f>'Memoria de calculo - NR8'!I66</f>
        <v>Calculado</v>
      </c>
      <c r="G22" s="21">
        <f>'Memoria de calculo - NR8'!H109</f>
        <v>0.54880259517221641</v>
      </c>
      <c r="H22" s="13" t="str">
        <f>'Memoria de calculo - NR8'!I109</f>
        <v>Calculado</v>
      </c>
      <c r="I22" s="21">
        <f>'Memoria de calculo - NR8'!H152</f>
        <v>0.62198666438707473</v>
      </c>
      <c r="J22" s="13" t="str">
        <f>'Memoria de calculo - NR8'!I152</f>
        <v>Calculado</v>
      </c>
      <c r="K22" s="13" t="str">
        <f>'Memoria de calculo - NR8'!J23</f>
        <v>Sim</v>
      </c>
      <c r="L22" s="13" t="str">
        <f>'Memoria de calculo - NR8'!J66</f>
        <v>Sim</v>
      </c>
      <c r="M22" s="13" t="str">
        <f>'Memoria de calculo - NR8'!J109</f>
        <v>Sim</v>
      </c>
      <c r="N22" s="13" t="str">
        <f>'Memoria de calculo - NR8'!J152</f>
        <v>Sim</v>
      </c>
      <c r="O22" s="13" t="str">
        <f>IF(NOT(AND(K22="Sim",L22="Sim")),"Não avaliável – resultado sujeito a ressalva/inconsistência",IF(AND(C22&gt;=Parametros!$C$6,E22&gt;=Parametros!$C$6),"Atingida","Não atingida"))</f>
        <v>Não atingida</v>
      </c>
      <c r="P22" s="13" t="str">
        <f>IF(NOT(AND(M22="Sim",N22="Sim")),"Não avaliável – resultado sujeito a ressalva/inconsistência",IF(AND(G22&gt;=Parametros!$C$7,I22&gt;=Parametros!$C$7),"Atingida","Não atingida"))</f>
        <v>Não atingida</v>
      </c>
      <c r="Q22" s="13" t="str">
        <f>IF(AND(Base_SINISA_Agua!$C22="Ausente",Base_SINISA_Esgoto!$C22="Ausente"),"Não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22" s="13" t="str">
        <f>Controle_Oficios!G22</f>
        <v>Enviado – sem resposta</v>
      </c>
    </row>
    <row r="23" spans="1:18" ht="15" customHeight="1" x14ac:dyDescent="0.35">
      <c r="A23" s="12">
        <v>3140001</v>
      </c>
      <c r="B23" s="12" t="s">
        <v>127</v>
      </c>
      <c r="C23" s="21">
        <f>'Memoria de calculo - NR8'!H24</f>
        <v>0.861895294897283</v>
      </c>
      <c r="D23" s="13" t="str">
        <f>'Memoria de calculo - NR8'!I24</f>
        <v>Calculado</v>
      </c>
      <c r="E23" s="21">
        <f>'Memoria de calculo - NR8'!H67</f>
        <v>0.70493149881186379</v>
      </c>
      <c r="F23" s="13" t="str">
        <f>'Memoria de calculo - NR8'!I67</f>
        <v>Calculado</v>
      </c>
      <c r="G23" s="21">
        <f>'Memoria de calculo - NR8'!H110</f>
        <v>0</v>
      </c>
      <c r="H23" s="13" t="str">
        <f>'Memoria de calculo - NR8'!I110</f>
        <v>Calculado</v>
      </c>
      <c r="I23" s="21">
        <f>'Memoria de calculo - NR8'!H153</f>
        <v>0</v>
      </c>
      <c r="J23" s="13" t="str">
        <f>'Memoria de calculo - NR8'!I153</f>
        <v>Calculado</v>
      </c>
      <c r="K23" s="13" t="str">
        <f>'Memoria de calculo - NR8'!J24</f>
        <v>Sim</v>
      </c>
      <c r="L23" s="13" t="str">
        <f>'Memoria de calculo - NR8'!J67</f>
        <v>Sim</v>
      </c>
      <c r="M23" s="13" t="str">
        <f>'Memoria de calculo - NR8'!J110</f>
        <v>Sim</v>
      </c>
      <c r="N23" s="13" t="str">
        <f>'Memoria de calculo - NR8'!J153</f>
        <v>Sim</v>
      </c>
      <c r="O23" s="13" t="str">
        <f>IF(NOT(AND(K23="Sim",L23="Sim")),"Não avaliável – resultado sujeito a ressalva/inconsistência",IF(AND(C23&gt;=Parametros!$C$6,E23&gt;=Parametros!$C$6),"Atingida","Não atingida"))</f>
        <v>Não atingida</v>
      </c>
      <c r="P23" s="13" t="str">
        <f>IF(NOT(AND(M23="Sim",N23="Sim")),"Não avaliável – resultado sujeito a ressalva/inconsistência",IF(AND(G23&gt;=Parametros!$C$7,I23&gt;=Parametros!$C$7),"Atingida","Não atingida"))</f>
        <v>Não atingida</v>
      </c>
      <c r="Q23" s="13" t="str">
        <f>IF(AND(Base_SINISA_Agua!$C23="Ausente",Base_SINISA_Esgoto!$C23="Ausente"),"Não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23" s="13" t="str">
        <f>Controle_Oficios!G23</f>
        <v>Enviado – sem resposta</v>
      </c>
    </row>
    <row r="24" spans="1:18" ht="15" customHeight="1" x14ac:dyDescent="0.35">
      <c r="A24" s="12">
        <v>3143906</v>
      </c>
      <c r="B24" s="12" t="s">
        <v>129</v>
      </c>
      <c r="C24" s="21">
        <f>'Memoria de calculo - NR8'!H25</f>
        <v>0.99731510861606054</v>
      </c>
      <c r="D24" s="13" t="str">
        <f>'Memoria de calculo - NR8'!I25</f>
        <v>Calculado</v>
      </c>
      <c r="E24" s="21">
        <f>'Memoria de calculo - NR8'!H68</f>
        <v>1.0357359650668703</v>
      </c>
      <c r="F24" s="13" t="str">
        <f>'Memoria de calculo - NR8'!I68</f>
        <v>Calculado</v>
      </c>
      <c r="G24" s="21">
        <f>'Memoria de calculo - NR8'!H111</f>
        <v>0.57932633634366615</v>
      </c>
      <c r="H24" s="13" t="str">
        <f>'Memoria de calculo - NR8'!I111</f>
        <v>Calculado com ressalva grave – inconsistência residencial/total na fonte</v>
      </c>
      <c r="I24" s="21">
        <f>'Memoria de calculo - NR8'!H154</f>
        <v>0</v>
      </c>
      <c r="J24" s="13" t="str">
        <f>'Memoria de calculo - NR8'!I154</f>
        <v>Calculado com ressalva grave – inconsistência residencial/total na fonte</v>
      </c>
      <c r="K24" s="13" t="str">
        <f>'Memoria de calculo - NR8'!J25</f>
        <v>Sim</v>
      </c>
      <c r="L24" s="13" t="str">
        <f>'Memoria de calculo - NR8'!J68</f>
        <v>Sim</v>
      </c>
      <c r="M24" s="13" t="str">
        <f>'Memoria de calculo - NR8'!J111</f>
        <v>Não</v>
      </c>
      <c r="N24" s="13" t="str">
        <f>'Memoria de calculo - NR8'!J154</f>
        <v>Não</v>
      </c>
      <c r="O24" s="13" t="str">
        <f>IF(NOT(AND(K24="Sim",L24="Sim")),"Não avaliável – resultado sujeito a ressalva/inconsistência",IF(AND(C24&gt;=Parametros!$C$6,E24&gt;=Parametros!$C$6),"Atingida","Não atingida"))</f>
        <v>Atingida</v>
      </c>
      <c r="P24" s="13" t="str">
        <f>IF(NOT(AND(M24="Sim",N24="Sim")),"Não avaliável – resultado sujeito a ressalva/inconsistência",IF(AND(G24&gt;=Parametros!$C$7,I24&gt;=Parametros!$C$7),"Atingida","Não atingida"))</f>
        <v>Não avaliável – resultado sujeito a ressalva/inconsistência</v>
      </c>
      <c r="Q24" s="13" t="str">
        <f>IF(AND(Base_SINISA_Agua!$C24="Ausente",Base_SINISA_Esgoto!$C24="Ausente"),"Não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24" s="13" t="str">
        <f>Controle_Oficios!G24</f>
        <v>Respondeu – parcialmente</v>
      </c>
    </row>
    <row r="25" spans="1:18" ht="15" customHeight="1" x14ac:dyDescent="0.35">
      <c r="A25" s="12">
        <v>3145851</v>
      </c>
      <c r="B25" s="12" t="s">
        <v>131</v>
      </c>
      <c r="C25" s="21" t="str">
        <f>'Memoria de calculo - NR8'!H26</f>
        <v>n.c.</v>
      </c>
      <c r="D25" s="13" t="str">
        <f>'Memoria de calculo - NR8'!I26</f>
        <v>Insatisfatório – prestador ausente</v>
      </c>
      <c r="E25" s="21" t="str">
        <f>'Memoria de calculo - NR8'!H69</f>
        <v>n.c.</v>
      </c>
      <c r="F25" s="13" t="str">
        <f>'Memoria de calculo - NR8'!I69</f>
        <v>Insatisfatório – prestador ausente</v>
      </c>
      <c r="G25" s="21">
        <f>'Memoria de calculo - NR8'!H112</f>
        <v>0</v>
      </c>
      <c r="H25" s="13" t="str">
        <f>'Memoria de calculo - NR8'!I112</f>
        <v>Calculado com ressalva – parcela ausente = zero</v>
      </c>
      <c r="I25" s="21" t="str">
        <f>'Memoria de calculo - NR8'!H155</f>
        <v>n.c.</v>
      </c>
      <c r="J25" s="13" t="str">
        <f>'Memoria de calculo - NR8'!I155</f>
        <v>Não calculado – denominador ausente</v>
      </c>
      <c r="K25" s="13" t="str">
        <f>'Memoria de calculo - NR8'!J26</f>
        <v>Não</v>
      </c>
      <c r="L25" s="13" t="str">
        <f>'Memoria de calculo - NR8'!J69</f>
        <v>Não</v>
      </c>
      <c r="M25" s="13" t="str">
        <f>'Memoria de calculo - NR8'!J112</f>
        <v>Não</v>
      </c>
      <c r="N25" s="13" t="str">
        <f>'Memoria de calculo - NR8'!J155</f>
        <v>Não</v>
      </c>
      <c r="O25" s="13" t="str">
        <f>IF(NOT(AND(K25="Sim",L25="Sim")),"Não avaliável – resultado sujeito a ressalva/inconsistência",IF(AND(C25&gt;=Parametros!$C$6,E25&gt;=Parametros!$C$6),"Atingida","Não atingida"))</f>
        <v>Não avaliável – resultado sujeito a ressalva/inconsistência</v>
      </c>
      <c r="P25" s="13" t="str">
        <f>IF(NOT(AND(M25="Sim",N25="Sim")),"Não avaliável – resultado sujeito a ressalva/inconsistência",IF(AND(G25&gt;=Parametros!$C$7,I25&gt;=Parametros!$C$7),"Atingida","Não atingida"))</f>
        <v>Não avaliável – resultado sujeito a ressalva/inconsistência</v>
      </c>
      <c r="Q25" s="13" t="str">
        <f>IF(AND(Base_SINISA_Agua!$C25="Ausente",Base_SINISA_Esgoto!$C25="Ausente"),"Não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25" s="13" t="str">
        <f>Controle_Oficios!G25</f>
        <v>Enviado – sem resposta</v>
      </c>
    </row>
    <row r="26" spans="1:18" ht="15" customHeight="1" x14ac:dyDescent="0.35">
      <c r="A26" s="12">
        <v>3150604</v>
      </c>
      <c r="B26" s="12" t="s">
        <v>132</v>
      </c>
      <c r="C26" s="21">
        <f>'Memoria de calculo - NR8'!H27</f>
        <v>0.92190405355150618</v>
      </c>
      <c r="D26" s="13" t="str">
        <f>'Memoria de calculo - NR8'!I27</f>
        <v>Calculado</v>
      </c>
      <c r="E26" s="21" t="str">
        <f>'Memoria de calculo - NR8'!H70</f>
        <v>n.c.</v>
      </c>
      <c r="F26" s="13" t="str">
        <f>'Memoria de calculo - NR8'!I70</f>
        <v>Não calculado – denominador ausente</v>
      </c>
      <c r="G26" s="21">
        <f>'Memoria de calculo - NR8'!H113</f>
        <v>0</v>
      </c>
      <c r="H26" s="13" t="str">
        <f>'Memoria de calculo - NR8'!I113</f>
        <v>Calculado com ressalva – parcela ausente = zero</v>
      </c>
      <c r="I26" s="21" t="str">
        <f>'Memoria de calculo - NR8'!H156</f>
        <v>n.c.</v>
      </c>
      <c r="J26" s="13" t="str">
        <f>'Memoria de calculo - NR8'!I156</f>
        <v>Não calculado – denominador ausente</v>
      </c>
      <c r="K26" s="13" t="str">
        <f>'Memoria de calculo - NR8'!J27</f>
        <v>Sim</v>
      </c>
      <c r="L26" s="13" t="str">
        <f>'Memoria de calculo - NR8'!J70</f>
        <v>Não</v>
      </c>
      <c r="M26" s="13" t="str">
        <f>'Memoria de calculo - NR8'!J113</f>
        <v>Não</v>
      </c>
      <c r="N26" s="13" t="str">
        <f>'Memoria de calculo - NR8'!J156</f>
        <v>Não</v>
      </c>
      <c r="O26" s="13" t="str">
        <f>IF(NOT(AND(K26="Sim",L26="Sim")),"Não avaliável – resultado sujeito a ressalva/inconsistência",IF(AND(C26&gt;=Parametros!$C$6,E26&gt;=Parametros!$C$6),"Atingida","Não atingida"))</f>
        <v>Não avaliável – resultado sujeito a ressalva/inconsistência</v>
      </c>
      <c r="P26" s="13" t="str">
        <f>IF(NOT(AND(M26="Sim",N26="Sim")),"Não avaliável – resultado sujeito a ressalva/inconsistência",IF(AND(G26&gt;=Parametros!$C$7,I26&gt;=Parametros!$C$7),"Atingida","Não atingida"))</f>
        <v>Não avaliável – resultado sujeito a ressalva/inconsistência</v>
      </c>
      <c r="Q26" s="13" t="str">
        <f>IF(AND(Base_SINISA_Agua!$C26="Ausente",Base_SINISA_Esgoto!$C26="Ausente"),"Não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26" s="13" t="str">
        <f>Controle_Oficios!G26</f>
        <v>Enviado – sem resposta</v>
      </c>
    </row>
    <row r="27" spans="1:18" ht="15" customHeight="1" x14ac:dyDescent="0.35">
      <c r="A27" s="12">
        <v>3151909</v>
      </c>
      <c r="B27" s="12" t="s">
        <v>134</v>
      </c>
      <c r="C27" s="21">
        <f>'Memoria de calculo - NR8'!H28</f>
        <v>0.91230722709404299</v>
      </c>
      <c r="D27" s="13" t="str">
        <f>'Memoria de calculo - NR8'!I28</f>
        <v>Calculado</v>
      </c>
      <c r="E27" s="21" t="str">
        <f>'Memoria de calculo - NR8'!H71</f>
        <v>n.c.</v>
      </c>
      <c r="F27" s="13" t="str">
        <f>'Memoria de calculo - NR8'!I71</f>
        <v>Não avaliável – denominador incoerente (ver auditoria)</v>
      </c>
      <c r="G27" s="21">
        <f>'Memoria de calculo - NR8'!H114</f>
        <v>0.46658602963410944</v>
      </c>
      <c r="H27" s="13" t="str">
        <f>'Memoria de calculo - NR8'!I114</f>
        <v>Calculado com ressalva – parcela ausente = zero</v>
      </c>
      <c r="I27" s="21" t="str">
        <f>'Memoria de calculo - NR8'!H157</f>
        <v>n.c.</v>
      </c>
      <c r="J27" s="13" t="str">
        <f>'Memoria de calculo - NR8'!I157</f>
        <v>Não avaliável – denominador incoerente (ver auditoria)</v>
      </c>
      <c r="K27" s="13" t="str">
        <f>'Memoria de calculo - NR8'!J28</f>
        <v>Sim</v>
      </c>
      <c r="L27" s="13" t="str">
        <f>'Memoria de calculo - NR8'!J71</f>
        <v>Não</v>
      </c>
      <c r="M27" s="13" t="str">
        <f>'Memoria de calculo - NR8'!J114</f>
        <v>Não</v>
      </c>
      <c r="N27" s="13" t="str">
        <f>'Memoria de calculo - NR8'!J157</f>
        <v>Não</v>
      </c>
      <c r="O27" s="13" t="str">
        <f>IF(NOT(AND(K27="Sim",L27="Sim")),"Não avaliável – resultado sujeito a ressalva/inconsistência",IF(AND(C27&gt;=Parametros!$C$6,E27&gt;=Parametros!$C$6),"Atingida","Não atingida"))</f>
        <v>Não avaliável – resultado sujeito a ressalva/inconsistência</v>
      </c>
      <c r="P27" s="13" t="str">
        <f>IF(NOT(AND(M27="Sim",N27="Sim")),"Não avaliável – resultado sujeito a ressalva/inconsistência",IF(AND(G27&gt;=Parametros!$C$7,I27&gt;=Parametros!$C$7),"Atingida","Não atingida"))</f>
        <v>Não avaliável – resultado sujeito a ressalva/inconsistência</v>
      </c>
      <c r="Q27" s="13" t="str">
        <f>IF(AND(Base_SINISA_Agua!$C27="Ausente",Base_SINISA_Esgoto!$C27="Ausente"),"Não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27" s="13" t="str">
        <f>Controle_Oficios!G27</f>
        <v>Enviado – sem resposta</v>
      </c>
    </row>
    <row r="28" spans="1:18" ht="15" customHeight="1" x14ac:dyDescent="0.35">
      <c r="A28" s="12">
        <v>3152105</v>
      </c>
      <c r="B28" s="12" t="s">
        <v>135</v>
      </c>
      <c r="C28" s="21">
        <f>'Memoria de calculo - NR8'!H29</f>
        <v>1.0027397260273974</v>
      </c>
      <c r="D28" s="13" t="str">
        <f>'Memoria de calculo - NR8'!I29</f>
        <v>Calculado</v>
      </c>
      <c r="E28" s="21" t="str">
        <f>'Memoria de calculo - NR8'!H72</f>
        <v>n.c.</v>
      </c>
      <c r="F28" s="13" t="str">
        <f>'Memoria de calculo - NR8'!I72</f>
        <v>Não avaliável – denominador incoerente (ver auditoria)</v>
      </c>
      <c r="G28" s="21">
        <f>'Memoria de calculo - NR8'!H115</f>
        <v>0</v>
      </c>
      <c r="H28" s="13" t="str">
        <f>'Memoria de calculo - NR8'!I115</f>
        <v>Calculado</v>
      </c>
      <c r="I28" s="21" t="str">
        <f>'Memoria de calculo - NR8'!H158</f>
        <v>n.c.</v>
      </c>
      <c r="J28" s="13" t="str">
        <f>'Memoria de calculo - NR8'!I158</f>
        <v>Não avaliável – denominador incoerente (ver auditoria)</v>
      </c>
      <c r="K28" s="13" t="str">
        <f>'Memoria de calculo - NR8'!J29</f>
        <v>Sim</v>
      </c>
      <c r="L28" s="13" t="str">
        <f>'Memoria de calculo - NR8'!J72</f>
        <v>Não</v>
      </c>
      <c r="M28" s="13" t="str">
        <f>'Memoria de calculo - NR8'!J115</f>
        <v>Sim</v>
      </c>
      <c r="N28" s="13" t="str">
        <f>'Memoria de calculo - NR8'!J158</f>
        <v>Não</v>
      </c>
      <c r="O28" s="13" t="str">
        <f>IF(NOT(AND(K28="Sim",L28="Sim")),"Não avaliável – resultado sujeito a ressalva/inconsistência",IF(AND(C28&gt;=Parametros!$C$6,E28&gt;=Parametros!$C$6),"Atingida","Não atingida"))</f>
        <v>Não avaliável – resultado sujeito a ressalva/inconsistência</v>
      </c>
      <c r="P28" s="13" t="str">
        <f>IF(NOT(AND(M28="Sim",N28="Sim")),"Não avaliável – resultado sujeito a ressalva/inconsistência",IF(AND(G28&gt;=Parametros!$C$7,I28&gt;=Parametros!$C$7),"Atingida","Não atingida"))</f>
        <v>Não avaliável – resultado sujeito a ressalva/inconsistência</v>
      </c>
      <c r="Q28" s="13" t="str">
        <f>IF(AND(Base_SINISA_Agua!$C28="Ausente",Base_SINISA_Esgoto!$C28="Ausente"),"Não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28" s="13" t="str">
        <f>Controle_Oficios!G28</f>
        <v>Enviado – sem resposta</v>
      </c>
    </row>
    <row r="29" spans="1:18" ht="15" customHeight="1" x14ac:dyDescent="0.35">
      <c r="A29" s="12">
        <v>3154002</v>
      </c>
      <c r="B29" s="12" t="s">
        <v>137</v>
      </c>
      <c r="C29" s="21">
        <f>'Memoria de calculo - NR8'!H30</f>
        <v>0.81288546255506611</v>
      </c>
      <c r="D29" s="13" t="str">
        <f>'Memoria de calculo - NR8'!I30</f>
        <v>Calculado</v>
      </c>
      <c r="E29" s="21" t="str">
        <f>'Memoria de calculo - NR8'!H73</f>
        <v>n.c.</v>
      </c>
      <c r="F29" s="13" t="str">
        <f>'Memoria de calculo - NR8'!I73</f>
        <v>Não calculado – denominador ausente</v>
      </c>
      <c r="G29" s="21">
        <f>'Memoria de calculo - NR8'!H116</f>
        <v>0</v>
      </c>
      <c r="H29" s="13" t="str">
        <f>'Memoria de calculo - NR8'!I116</f>
        <v>Calculado</v>
      </c>
      <c r="I29" s="21" t="str">
        <f>'Memoria de calculo - NR8'!H159</f>
        <v>n.c.</v>
      </c>
      <c r="J29" s="13" t="str">
        <f>'Memoria de calculo - NR8'!I159</f>
        <v>Não calculado – denominador ausente</v>
      </c>
      <c r="K29" s="13" t="str">
        <f>'Memoria de calculo - NR8'!J30</f>
        <v>Sim</v>
      </c>
      <c r="L29" s="13" t="str">
        <f>'Memoria de calculo - NR8'!J73</f>
        <v>Não</v>
      </c>
      <c r="M29" s="13" t="str">
        <f>'Memoria de calculo - NR8'!J116</f>
        <v>Sim</v>
      </c>
      <c r="N29" s="13" t="str">
        <f>'Memoria de calculo - NR8'!J159</f>
        <v>Não</v>
      </c>
      <c r="O29" s="13" t="str">
        <f>IF(NOT(AND(K29="Sim",L29="Sim")),"Não avaliável – resultado sujeito a ressalva/inconsistência",IF(AND(C29&gt;=Parametros!$C$6,E29&gt;=Parametros!$C$6),"Atingida","Não atingida"))</f>
        <v>Não avaliável – resultado sujeito a ressalva/inconsistência</v>
      </c>
      <c r="P29" s="13" t="str">
        <f>IF(NOT(AND(M29="Sim",N29="Sim")),"Não avaliável – resultado sujeito a ressalva/inconsistência",IF(AND(G29&gt;=Parametros!$C$7,I29&gt;=Parametros!$C$7),"Atingida","Não atingida"))</f>
        <v>Não avaliável – resultado sujeito a ressalva/inconsistência</v>
      </c>
      <c r="Q29" s="13" t="str">
        <f>IF(AND(Base_SINISA_Agua!$C29="Ausente",Base_SINISA_Esgoto!$C29="Ausente"),"Não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29" s="13" t="str">
        <f>Controle_Oficios!G29</f>
        <v>Respondeu – parcialmente</v>
      </c>
    </row>
    <row r="30" spans="1:18" ht="15" customHeight="1" x14ac:dyDescent="0.35">
      <c r="A30" s="12">
        <v>3154101</v>
      </c>
      <c r="B30" s="12" t="s">
        <v>138</v>
      </c>
      <c r="C30" s="21">
        <f>'Memoria de calculo - NR8'!H31</f>
        <v>0.77983025461807287</v>
      </c>
      <c r="D30" s="13" t="str">
        <f>'Memoria de calculo - NR8'!I31</f>
        <v>Calculado</v>
      </c>
      <c r="E30" s="21" t="str">
        <f>'Memoria de calculo - NR8'!H74</f>
        <v>n.c.</v>
      </c>
      <c r="F30" s="13" t="str">
        <f>'Memoria de calculo - NR8'!I74</f>
        <v>Não avaliável – denominador incoerente (ver auditoria)</v>
      </c>
      <c r="G30" s="21">
        <f>'Memoria de calculo - NR8'!H117</f>
        <v>0</v>
      </c>
      <c r="H30" s="13" t="str">
        <f>'Memoria de calculo - NR8'!I117</f>
        <v>Calculado</v>
      </c>
      <c r="I30" s="21" t="str">
        <f>'Memoria de calculo - NR8'!H160</f>
        <v>n.c.</v>
      </c>
      <c r="J30" s="13" t="str">
        <f>'Memoria de calculo - NR8'!I160</f>
        <v>Não avaliável – denominador incoerente (ver auditoria)</v>
      </c>
      <c r="K30" s="13" t="str">
        <f>'Memoria de calculo - NR8'!J31</f>
        <v>Sim</v>
      </c>
      <c r="L30" s="13" t="str">
        <f>'Memoria de calculo - NR8'!J74</f>
        <v>Não</v>
      </c>
      <c r="M30" s="13" t="str">
        <f>'Memoria de calculo - NR8'!J117</f>
        <v>Sim</v>
      </c>
      <c r="N30" s="13" t="str">
        <f>'Memoria de calculo - NR8'!J160</f>
        <v>Não</v>
      </c>
      <c r="O30" s="13" t="str">
        <f>IF(NOT(AND(K30="Sim",L30="Sim")),"Não avaliável – resultado sujeito a ressalva/inconsistência",IF(AND(C30&gt;=Parametros!$C$6,E30&gt;=Parametros!$C$6),"Atingida","Não atingida"))</f>
        <v>Não avaliável – resultado sujeito a ressalva/inconsistência</v>
      </c>
      <c r="P30" s="13" t="str">
        <f>IF(NOT(AND(M30="Sim",N30="Sim")),"Não avaliável – resultado sujeito a ressalva/inconsistência",IF(AND(G30&gt;=Parametros!$C$7,I30&gt;=Parametros!$C$7),"Atingida","Não atingida"))</f>
        <v>Não avaliável – resultado sujeito a ressalva/inconsistência</v>
      </c>
      <c r="Q30" s="13" t="str">
        <f>IF(AND(Base_SINISA_Agua!$C30="Ausente",Base_SINISA_Esgoto!$C30="Ausente"),"Não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0" s="13" t="str">
        <f>Controle_Oficios!G30</f>
        <v>Enviado – sem resposta</v>
      </c>
    </row>
    <row r="31" spans="1:18" ht="15" customHeight="1" x14ac:dyDescent="0.35">
      <c r="A31" s="12">
        <v>3154150</v>
      </c>
      <c r="B31" s="12" t="s">
        <v>139</v>
      </c>
      <c r="C31" s="21" t="str">
        <f>'Memoria de calculo - NR8'!H32</f>
        <v>n.c.</v>
      </c>
      <c r="D31" s="13" t="str">
        <f>'Memoria de calculo - NR8'!I32</f>
        <v>Não calculado – denominador ausente</v>
      </c>
      <c r="E31" s="21" t="str">
        <f>'Memoria de calculo - NR8'!H75</f>
        <v>n.c.</v>
      </c>
      <c r="F31" s="13" t="str">
        <f>'Memoria de calculo - NR8'!I75</f>
        <v>Não calculado – denominador ausente</v>
      </c>
      <c r="G31" s="21" t="str">
        <f>'Memoria de calculo - NR8'!H118</f>
        <v>n.c.</v>
      </c>
      <c r="H31" s="13" t="str">
        <f>'Memoria de calculo - NR8'!I118</f>
        <v>Não calculado – denominador ausente</v>
      </c>
      <c r="I31" s="21" t="str">
        <f>'Memoria de calculo - NR8'!H161</f>
        <v>n.c.</v>
      </c>
      <c r="J31" s="13" t="str">
        <f>'Memoria de calculo - NR8'!I161</f>
        <v>Não calculado – denominador ausente</v>
      </c>
      <c r="K31" s="13" t="str">
        <f>'Memoria de calculo - NR8'!J32</f>
        <v>Não</v>
      </c>
      <c r="L31" s="13" t="str">
        <f>'Memoria de calculo - NR8'!J75</f>
        <v>Não</v>
      </c>
      <c r="M31" s="13" t="str">
        <f>'Memoria de calculo - NR8'!J118</f>
        <v>Não</v>
      </c>
      <c r="N31" s="13" t="str">
        <f>'Memoria de calculo - NR8'!J161</f>
        <v>Não</v>
      </c>
      <c r="O31" s="13" t="str">
        <f>IF(NOT(AND(K31="Sim",L31="Sim")),"Não avaliável – resultado sujeito a ressalva/inconsistência",IF(AND(C31&gt;=Parametros!$C$6,E31&gt;=Parametros!$C$6),"Atingida","Não atingida"))</f>
        <v>Não avaliável – resultado sujeito a ressalva/inconsistência</v>
      </c>
      <c r="P31" s="13" t="str">
        <f>IF(NOT(AND(M31="Sim",N31="Sim")),"Não avaliável – resultado sujeito a ressalva/inconsistência",IF(AND(G31&gt;=Parametros!$C$7,I31&gt;=Parametros!$C$7),"Atingida","Não atingida"))</f>
        <v>Não avaliável – resultado sujeito a ressalva/inconsistência</v>
      </c>
      <c r="Q31" s="13" t="str">
        <f>IF(AND(Base_SINISA_Agua!$C31="Ausente",Base_SINISA_Esgoto!$C31="Ausente"),"Não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1" s="13" t="str">
        <f>Controle_Oficios!G31</f>
        <v>Enviado – sem resposta</v>
      </c>
    </row>
    <row r="32" spans="1:18" ht="15" customHeight="1" x14ac:dyDescent="0.35">
      <c r="A32" s="12">
        <v>3165701</v>
      </c>
      <c r="B32" s="12" t="s">
        <v>141</v>
      </c>
      <c r="C32" s="21">
        <f>'Memoria de calculo - NR8'!H33</f>
        <v>0.83889259506337555</v>
      </c>
      <c r="D32" s="13" t="str">
        <f>'Memoria de calculo - NR8'!I33</f>
        <v>Calculado</v>
      </c>
      <c r="E32" s="21" t="str">
        <f>'Memoria de calculo - NR8'!H76</f>
        <v>n.c.</v>
      </c>
      <c r="F32" s="13" t="str">
        <f>'Memoria de calculo - NR8'!I76</f>
        <v>Não calculado – denominador ausente</v>
      </c>
      <c r="G32" s="21">
        <f>'Memoria de calculo - NR8'!H119</f>
        <v>0</v>
      </c>
      <c r="H32" s="13" t="str">
        <f>'Memoria de calculo - NR8'!I119</f>
        <v>Calculado</v>
      </c>
      <c r="I32" s="21" t="str">
        <f>'Memoria de calculo - NR8'!H162</f>
        <v>n.c.</v>
      </c>
      <c r="J32" s="13" t="str">
        <f>'Memoria de calculo - NR8'!I162</f>
        <v>Não calculado – denominador ausente</v>
      </c>
      <c r="K32" s="13" t="str">
        <f>'Memoria de calculo - NR8'!J33</f>
        <v>Sim</v>
      </c>
      <c r="L32" s="13" t="str">
        <f>'Memoria de calculo - NR8'!J76</f>
        <v>Não</v>
      </c>
      <c r="M32" s="13" t="str">
        <f>'Memoria de calculo - NR8'!J119</f>
        <v>Sim</v>
      </c>
      <c r="N32" s="13" t="str">
        <f>'Memoria de calculo - NR8'!J162</f>
        <v>Não</v>
      </c>
      <c r="O32" s="13" t="str">
        <f>IF(NOT(AND(K32="Sim",L32="Sim")),"Não avaliável – resultado sujeito a ressalva/inconsistência",IF(AND(C32&gt;=Parametros!$C$6,E32&gt;=Parametros!$C$6),"Atingida","Não atingida"))</f>
        <v>Não avaliável – resultado sujeito a ressalva/inconsistência</v>
      </c>
      <c r="P32" s="13" t="str">
        <f>IF(NOT(AND(M32="Sim",N32="Sim")),"Não avaliável – resultado sujeito a ressalva/inconsistência",IF(AND(G32&gt;=Parametros!$C$7,I32&gt;=Parametros!$C$7),"Atingida","Não atingida"))</f>
        <v>Não avaliável – resultado sujeito a ressalva/inconsistência</v>
      </c>
      <c r="Q32" s="13" t="str">
        <f>IF(AND(Base_SINISA_Agua!$C32="Ausente",Base_SINISA_Esgoto!$C32="Ausente"),"Não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2" s="13" t="str">
        <f>Controle_Oficios!G32</f>
        <v>Enviado – sem resposta</v>
      </c>
    </row>
    <row r="33" spans="1:18" ht="15" customHeight="1" x14ac:dyDescent="0.35">
      <c r="A33" s="12">
        <v>3161403</v>
      </c>
      <c r="B33" s="12" t="s">
        <v>142</v>
      </c>
      <c r="C33" s="21">
        <f>'Memoria de calculo - NR8'!H34</f>
        <v>0.80241492864983532</v>
      </c>
      <c r="D33" s="13" t="str">
        <f>'Memoria de calculo - NR8'!I34</f>
        <v>Calculado</v>
      </c>
      <c r="E33" s="21" t="str">
        <f>'Memoria de calculo - NR8'!H77</f>
        <v>n.c.</v>
      </c>
      <c r="F33" s="13" t="str">
        <f>'Memoria de calculo - NR8'!I77</f>
        <v>Não calculado – denominador ausente</v>
      </c>
      <c r="G33" s="21">
        <f>'Memoria de calculo - NR8'!H120</f>
        <v>0</v>
      </c>
      <c r="H33" s="13" t="str">
        <f>'Memoria de calculo - NR8'!I120</f>
        <v>Calculado com ressalva – parcela ausente = zero</v>
      </c>
      <c r="I33" s="21" t="str">
        <f>'Memoria de calculo - NR8'!H163</f>
        <v>n.c.</v>
      </c>
      <c r="J33" s="13" t="str">
        <f>'Memoria de calculo - NR8'!I163</f>
        <v>Não calculado – denominador ausente</v>
      </c>
      <c r="K33" s="13" t="str">
        <f>'Memoria de calculo - NR8'!J34</f>
        <v>Sim</v>
      </c>
      <c r="L33" s="13" t="str">
        <f>'Memoria de calculo - NR8'!J77</f>
        <v>Não</v>
      </c>
      <c r="M33" s="13" t="str">
        <f>'Memoria de calculo - NR8'!J120</f>
        <v>Não</v>
      </c>
      <c r="N33" s="13" t="str">
        <f>'Memoria de calculo - NR8'!J163</f>
        <v>Não</v>
      </c>
      <c r="O33" s="13" t="str">
        <f>IF(NOT(AND(K33="Sim",L33="Sim")),"Não avaliável – resultado sujeito a ressalva/inconsistência",IF(AND(C33&gt;=Parametros!$C$6,E33&gt;=Parametros!$C$6),"Atingida","Não atingida"))</f>
        <v>Não avaliável – resultado sujeito a ressalva/inconsistência</v>
      </c>
      <c r="P33" s="13" t="str">
        <f>IF(NOT(AND(M33="Sim",N33="Sim")),"Não avaliável – resultado sujeito a ressalva/inconsistência",IF(AND(G33&gt;=Parametros!$C$7,I33&gt;=Parametros!$C$7),"Atingida","Não atingida"))</f>
        <v>Não avaliável – resultado sujeito a ressalva/inconsistência</v>
      </c>
      <c r="Q33" s="13" t="str">
        <f>IF(AND(Base_SINISA_Agua!$C33="Ausente",Base_SINISA_Esgoto!$C33="Ausente"),"Não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3" s="13" t="str">
        <f>Controle_Oficios!G33</f>
        <v>Enviado – sem resposta</v>
      </c>
    </row>
    <row r="34" spans="1:18" ht="15" customHeight="1" x14ac:dyDescent="0.35">
      <c r="A34" s="12">
        <v>3168051</v>
      </c>
      <c r="B34" s="12" t="s">
        <v>144</v>
      </c>
      <c r="C34" s="21" t="str">
        <f>'Memoria de calculo - NR8'!H35</f>
        <v>n.c.</v>
      </c>
      <c r="D34" s="13" t="str">
        <f>'Memoria de calculo - NR8'!I35</f>
        <v>Não calculado – denominador ausente</v>
      </c>
      <c r="E34" s="21" t="str">
        <f>'Memoria de calculo - NR8'!H78</f>
        <v>n.c.</v>
      </c>
      <c r="F34" s="13" t="str">
        <f>'Memoria de calculo - NR8'!I78</f>
        <v>Não calculado – denominador ausente</v>
      </c>
      <c r="G34" s="21" t="str">
        <f>'Memoria de calculo - NR8'!H121</f>
        <v>n.c.</v>
      </c>
      <c r="H34" s="13" t="str">
        <f>'Memoria de calculo - NR8'!I121</f>
        <v>Insatisfatório – prestador ausente</v>
      </c>
      <c r="I34" s="21" t="str">
        <f>'Memoria de calculo - NR8'!H164</f>
        <v>n.c.</v>
      </c>
      <c r="J34" s="13" t="str">
        <f>'Memoria de calculo - NR8'!I164</f>
        <v>Insatisfatório – prestador ausente</v>
      </c>
      <c r="K34" s="13" t="str">
        <f>'Memoria de calculo - NR8'!J35</f>
        <v>Não</v>
      </c>
      <c r="L34" s="13" t="str">
        <f>'Memoria de calculo - NR8'!J78</f>
        <v>Não</v>
      </c>
      <c r="M34" s="13" t="str">
        <f>'Memoria de calculo - NR8'!J121</f>
        <v>Não</v>
      </c>
      <c r="N34" s="13" t="str">
        <f>'Memoria de calculo - NR8'!J164</f>
        <v>Não</v>
      </c>
      <c r="O34" s="13" t="str">
        <f>IF(NOT(AND(K34="Sim",L34="Sim")),"Não avaliável – resultado sujeito a ressalva/inconsistência",IF(AND(C34&gt;=Parametros!$C$6,E34&gt;=Parametros!$C$6),"Atingida","Não atingida"))</f>
        <v>Não avaliável – resultado sujeito a ressalva/inconsistência</v>
      </c>
      <c r="P34" s="13" t="str">
        <f>IF(NOT(AND(M34="Sim",N34="Sim")),"Não avaliável – resultado sujeito a ressalva/inconsistência",IF(AND(G34&gt;=Parametros!$C$7,I34&gt;=Parametros!$C$7),"Atingida","Não atingida"))</f>
        <v>Não avaliável – resultado sujeito a ressalva/inconsistência</v>
      </c>
      <c r="Q34" s="13" t="str">
        <f>IF(AND(Base_SINISA_Agua!$C34="Ausente",Base_SINISA_Esgoto!$C34="Ausente"),"Não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4" s="13" t="str">
        <f>Controle_Oficios!G34</f>
        <v>Respondeu – parcialmente</v>
      </c>
    </row>
    <row r="35" spans="1:18" ht="15" customHeight="1" x14ac:dyDescent="0.35">
      <c r="A35" s="12">
        <v>3169000</v>
      </c>
      <c r="B35" s="12" t="s">
        <v>146</v>
      </c>
      <c r="C35" s="21">
        <f>'Memoria de calculo - NR8'!H36</f>
        <v>0.86748135216632283</v>
      </c>
      <c r="D35" s="13" t="str">
        <f>'Memoria de calculo - NR8'!I36</f>
        <v>Calculado</v>
      </c>
      <c r="E35" s="21" t="str">
        <f>'Memoria de calculo - NR8'!H79</f>
        <v>n.c.</v>
      </c>
      <c r="F35" s="13" t="str">
        <f>'Memoria de calculo - NR8'!I79</f>
        <v>Não calculado – denominador ausente</v>
      </c>
      <c r="G35" s="21" t="str">
        <f>'Memoria de calculo - NR8'!H122</f>
        <v>n.c.</v>
      </c>
      <c r="H35" s="13" t="str">
        <f>'Memoria de calculo - NR8'!I122</f>
        <v>Insatisfatório – prestador ausente</v>
      </c>
      <c r="I35" s="21" t="str">
        <f>'Memoria de calculo - NR8'!H165</f>
        <v>n.c.</v>
      </c>
      <c r="J35" s="13" t="str">
        <f>'Memoria de calculo - NR8'!I165</f>
        <v>Insatisfatório – prestador ausente</v>
      </c>
      <c r="K35" s="13" t="str">
        <f>'Memoria de calculo - NR8'!J36</f>
        <v>Sim</v>
      </c>
      <c r="L35" s="13" t="str">
        <f>'Memoria de calculo - NR8'!J79</f>
        <v>Não</v>
      </c>
      <c r="M35" s="13" t="str">
        <f>'Memoria de calculo - NR8'!J122</f>
        <v>Não</v>
      </c>
      <c r="N35" s="13" t="str">
        <f>'Memoria de calculo - NR8'!J165</f>
        <v>Não</v>
      </c>
      <c r="O35" s="13" t="str">
        <f>IF(NOT(AND(K35="Sim",L35="Sim")),"Não avaliável – resultado sujeito a ressalva/inconsistência",IF(AND(C35&gt;=Parametros!$C$6,E35&gt;=Parametros!$C$6),"Atingida","Não atingida"))</f>
        <v>Não avaliável – resultado sujeito a ressalva/inconsistência</v>
      </c>
      <c r="P35" s="13" t="str">
        <f>IF(NOT(AND(M35="Sim",N35="Sim")),"Não avaliável – resultado sujeito a ressalva/inconsistência",IF(AND(G35&gt;=Parametros!$C$7,I35&gt;=Parametros!$C$7),"Atingida","Não atingida"))</f>
        <v>Não avaliável – resultado sujeito a ressalva/inconsistência</v>
      </c>
      <c r="Q35" s="13" t="str">
        <f>IF(AND(Base_SINISA_Agua!$C35="Ausente",Base_SINISA_Esgoto!$C35="Ausente"),"Não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5" s="13" t="str">
        <f>Controle_Oficios!G35</f>
        <v>Enviado – sem resposta</v>
      </c>
    </row>
    <row r="36" spans="1:18" ht="15" customHeight="1" x14ac:dyDescent="0.35">
      <c r="A36" s="12">
        <v>3169208</v>
      </c>
      <c r="B36" s="12" t="s">
        <v>148</v>
      </c>
      <c r="C36" s="21" t="str">
        <f>'Memoria de calculo - NR8'!H37</f>
        <v>n.c.</v>
      </c>
      <c r="D36" s="13" t="str">
        <f>'Memoria de calculo - NR8'!I37</f>
        <v>Não calculado – denominador ausente</v>
      </c>
      <c r="E36" s="21" t="str">
        <f>'Memoria de calculo - NR8'!H80</f>
        <v>n.c.</v>
      </c>
      <c r="F36" s="13" t="str">
        <f>'Memoria de calculo - NR8'!I80</f>
        <v>Não calculado – denominador ausente</v>
      </c>
      <c r="G36" s="21" t="str">
        <f>'Memoria de calculo - NR8'!H123</f>
        <v>n.c.</v>
      </c>
      <c r="H36" s="13" t="str">
        <f>'Memoria de calculo - NR8'!I123</f>
        <v>Não calculado – denominador ausente</v>
      </c>
      <c r="I36" s="21" t="str">
        <f>'Memoria de calculo - NR8'!H166</f>
        <v>n.c.</v>
      </c>
      <c r="J36" s="13" t="str">
        <f>'Memoria de calculo - NR8'!I166</f>
        <v>Não calculado – denominador ausente</v>
      </c>
      <c r="K36" s="13" t="str">
        <f>'Memoria de calculo - NR8'!J37</f>
        <v>Não</v>
      </c>
      <c r="L36" s="13" t="str">
        <f>'Memoria de calculo - NR8'!J80</f>
        <v>Não</v>
      </c>
      <c r="M36" s="13" t="str">
        <f>'Memoria de calculo - NR8'!J123</f>
        <v>Não</v>
      </c>
      <c r="N36" s="13" t="str">
        <f>'Memoria de calculo - NR8'!J166</f>
        <v>Não</v>
      </c>
      <c r="O36" s="13" t="str">
        <f>IF(NOT(AND(K36="Sim",L36="Sim")),"Não avaliável – resultado sujeito a ressalva/inconsistência",IF(AND(C36&gt;=Parametros!$C$6,E36&gt;=Parametros!$C$6),"Atingida","Não atingida"))</f>
        <v>Não avaliável – resultado sujeito a ressalva/inconsistência</v>
      </c>
      <c r="P36" s="13" t="str">
        <f>IF(NOT(AND(M36="Sim",N36="Sim")),"Não avaliável – resultado sujeito a ressalva/inconsistência",IF(AND(G36&gt;=Parametros!$C$7,I36&gt;=Parametros!$C$7),"Atingida","Não atingida"))</f>
        <v>Não avaliável – resultado sujeito a ressalva/inconsistência</v>
      </c>
      <c r="Q36" s="13" t="str">
        <f>IF(AND(Base_SINISA_Agua!$C36="Ausente",Base_SINISA_Esgoto!$C36="Ausente"),"Não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6" s="13" t="str">
        <f>Controle_Oficios!G36</f>
        <v>Enviado – sem resposta</v>
      </c>
    </row>
    <row r="37" spans="1:18" ht="15" customHeight="1" x14ac:dyDescent="0.35">
      <c r="A37" s="12">
        <v>3171154</v>
      </c>
      <c r="B37" s="12" t="s">
        <v>149</v>
      </c>
      <c r="C37" s="21">
        <f>'Memoria de calculo - NR8'!H38</f>
        <v>0.49351351351351352</v>
      </c>
      <c r="D37" s="13" t="str">
        <f>'Memoria de calculo - NR8'!I38</f>
        <v>Calculado</v>
      </c>
      <c r="E37" s="21" t="str">
        <f>'Memoria de calculo - NR8'!H81</f>
        <v>n.c.</v>
      </c>
      <c r="F37" s="13" t="str">
        <f>'Memoria de calculo - NR8'!I81</f>
        <v>Não avaliável – denominador incoerente (ver auditoria)</v>
      </c>
      <c r="G37" s="21">
        <f>'Memoria de calculo - NR8'!H124</f>
        <v>0.42864864864864866</v>
      </c>
      <c r="H37" s="13" t="str">
        <f>'Memoria de calculo - NR8'!I124</f>
        <v>Calculado</v>
      </c>
      <c r="I37" s="21" t="str">
        <f>'Memoria de calculo - NR8'!H167</f>
        <v>n.c.</v>
      </c>
      <c r="J37" s="13" t="str">
        <f>'Memoria de calculo - NR8'!I167</f>
        <v>Não avaliável – denominador incoerente (ver auditoria)</v>
      </c>
      <c r="K37" s="13" t="str">
        <f>'Memoria de calculo - NR8'!J38</f>
        <v>Sim</v>
      </c>
      <c r="L37" s="13" t="str">
        <f>'Memoria de calculo - NR8'!J81</f>
        <v>Não</v>
      </c>
      <c r="M37" s="13" t="str">
        <f>'Memoria de calculo - NR8'!J124</f>
        <v>Sim</v>
      </c>
      <c r="N37" s="13" t="str">
        <f>'Memoria de calculo - NR8'!J167</f>
        <v>Não</v>
      </c>
      <c r="O37" s="13" t="str">
        <f>IF(NOT(AND(K37="Sim",L37="Sim")),"Não avaliável – resultado sujeito a ressalva/inconsistência",IF(AND(C37&gt;=Parametros!$C$6,E37&gt;=Parametros!$C$6),"Atingida","Não atingida"))</f>
        <v>Não avaliável – resultado sujeito a ressalva/inconsistência</v>
      </c>
      <c r="P37" s="13" t="str">
        <f>IF(NOT(AND(M37="Sim",N37="Sim")),"Não avaliável – resultado sujeito a ressalva/inconsistência",IF(AND(G37&gt;=Parametros!$C$7,I37&gt;=Parametros!$C$7),"Atingida","Não atingida"))</f>
        <v>Não avaliável – resultado sujeito a ressalva/inconsistência</v>
      </c>
      <c r="Q37" s="13" t="str">
        <f>IF(AND(Base_SINISA_Agua!$C37="Ausente",Base_SINISA_Esgoto!$C37="Ausente"),"Não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7" s="13" t="str">
        <f>Controle_Oficios!G37</f>
        <v>Enviado – sem resposta</v>
      </c>
    </row>
    <row r="38" spans="1:18" ht="15" customHeight="1" x14ac:dyDescent="0.35">
      <c r="A38" s="12">
        <v>3171303</v>
      </c>
      <c r="B38" s="12" t="s">
        <v>150</v>
      </c>
      <c r="C38" s="21">
        <f>'Memoria de calculo - NR8'!H39</f>
        <v>1.147798950932873</v>
      </c>
      <c r="D38" s="13" t="str">
        <f>'Memoria de calculo - NR8'!I39</f>
        <v>Calculado</v>
      </c>
      <c r="E38" s="21">
        <f>'Memoria de calculo - NR8'!H82</f>
        <v>1.0091145510835913</v>
      </c>
      <c r="F38" s="13" t="str">
        <f>'Memoria de calculo - NR8'!I82</f>
        <v>Calculado</v>
      </c>
      <c r="G38" s="21">
        <f>'Memoria de calculo - NR8'!H125</f>
        <v>1.8823451298054579E-2</v>
      </c>
      <c r="H38" s="13" t="str">
        <f>'Memoria de calculo - NR8'!I125</f>
        <v>Calculado</v>
      </c>
      <c r="I38" s="21">
        <f>'Memoria de calculo - NR8'!H168</f>
        <v>1.8674922600619193E-2</v>
      </c>
      <c r="J38" s="13" t="str">
        <f>'Memoria de calculo - NR8'!I168</f>
        <v>Calculado</v>
      </c>
      <c r="K38" s="13" t="str">
        <f>'Memoria de calculo - NR8'!J39</f>
        <v>Sim</v>
      </c>
      <c r="L38" s="13" t="str">
        <f>'Memoria de calculo - NR8'!J82</f>
        <v>Sim</v>
      </c>
      <c r="M38" s="13" t="str">
        <f>'Memoria de calculo - NR8'!J125</f>
        <v>Sim</v>
      </c>
      <c r="N38" s="13" t="str">
        <f>'Memoria de calculo - NR8'!J168</f>
        <v>Sim</v>
      </c>
      <c r="O38" s="13" t="str">
        <f>IF(NOT(AND(K38="Sim",L38="Sim")),"Não avaliável – resultado sujeito a ressalva/inconsistência",IF(AND(C38&gt;=Parametros!$C$6,E38&gt;=Parametros!$C$6),"Atingida","Não atingida"))</f>
        <v>Atingida</v>
      </c>
      <c r="P38" s="13" t="str">
        <f>IF(NOT(AND(M38="Sim",N38="Sim")),"Não avaliável – resultado sujeito a ressalva/inconsistência",IF(AND(G38&gt;=Parametros!$C$7,I38&gt;=Parametros!$C$7),"Atingida","Não atingida"))</f>
        <v>Não atingida</v>
      </c>
      <c r="Q38" s="13" t="str">
        <f>IF(AND(Base_SINISA_Agua!$C38="Ausente",Base_SINISA_Esgoto!$C38="Ausente"),"Não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8" s="13" t="str">
        <f>Controle_Oficios!G38</f>
        <v>Respondeu – sem dados</v>
      </c>
    </row>
    <row r="39" spans="1:18" ht="15" customHeight="1" x14ac:dyDescent="0.35">
      <c r="A39" s="12">
        <v>3167202</v>
      </c>
      <c r="B39" s="12" t="s">
        <v>151</v>
      </c>
      <c r="C39" s="21" t="str">
        <f>'Memoria de calculo - NR8'!H40</f>
        <v>n.c.</v>
      </c>
      <c r="D39" s="13" t="str">
        <f>'Memoria de calculo - NR8'!I40</f>
        <v>Não calculado – denominador ausente</v>
      </c>
      <c r="E39" s="21" t="str">
        <f>'Memoria de calculo - NR8'!H83</f>
        <v>n.c.</v>
      </c>
      <c r="F39" s="13" t="str">
        <f>'Memoria de calculo - NR8'!I83</f>
        <v>Não calculado – denominador ausente</v>
      </c>
      <c r="G39" s="21" t="str">
        <f>'Memoria de calculo - NR8'!H126</f>
        <v>n.c.</v>
      </c>
      <c r="H39" s="13" t="str">
        <f>'Memoria de calculo - NR8'!I126</f>
        <v>Não calculado – denominador ausente</v>
      </c>
      <c r="I39" s="21" t="str">
        <f>'Memoria de calculo - NR8'!H169</f>
        <v>n.c.</v>
      </c>
      <c r="J39" s="13" t="str">
        <f>'Memoria de calculo - NR8'!I169</f>
        <v>Não calculado – denominador ausente</v>
      </c>
      <c r="K39" s="13" t="str">
        <f>'Memoria de calculo - NR8'!J40</f>
        <v>Não</v>
      </c>
      <c r="L39" s="13" t="str">
        <f>'Memoria de calculo - NR8'!J83</f>
        <v>Não</v>
      </c>
      <c r="M39" s="13" t="str">
        <f>'Memoria de calculo - NR8'!J126</f>
        <v>Não</v>
      </c>
      <c r="N39" s="13" t="str">
        <f>'Memoria de calculo - NR8'!J169</f>
        <v>Não</v>
      </c>
      <c r="O39" s="13" t="str">
        <f>IF(NOT(AND(K39="Sim",L39="Sim")),"Não avaliável – resultado sujeito a ressalva/inconsistência",IF(AND(C39&gt;=Parametros!$C$6,E39&gt;=Parametros!$C$6),"Atingida","Não atingida"))</f>
        <v>Não avaliável – resultado sujeito a ressalva/inconsistência</v>
      </c>
      <c r="P39" s="13" t="str">
        <f>IF(NOT(AND(M39="Sim",N39="Sim")),"Não avaliável – resultado sujeito a ressalva/inconsistência",IF(AND(G39&gt;=Parametros!$C$7,I39&gt;=Parametros!$C$7),"Atingida","Não atingida"))</f>
        <v>Não avaliável – resultado sujeito a ressalva/inconsistência</v>
      </c>
      <c r="Q39" s="13" t="str">
        <f>IF(AND(Base_SINISA_Agua!$C39="Ausente",Base_SINISA_Esgoto!$C39="Ausente"),"Não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39" s="13" t="str">
        <f>Controle_Oficios!G39</f>
        <v>Respondeu – parcialmente</v>
      </c>
    </row>
    <row r="40" spans="1:18" ht="15" customHeight="1" x14ac:dyDescent="0.35">
      <c r="A40" s="12">
        <v>3146305</v>
      </c>
      <c r="B40" s="12" t="s">
        <v>153</v>
      </c>
      <c r="C40" s="21" t="str">
        <f>'Memoria de calculo - NR8'!H41</f>
        <v>n.c.</v>
      </c>
      <c r="D40" s="13" t="str">
        <f>'Memoria de calculo - NR8'!I41</f>
        <v>Não calculado – denominador ausente</v>
      </c>
      <c r="E40" s="21" t="str">
        <f>'Memoria de calculo - NR8'!H84</f>
        <v>n.c.</v>
      </c>
      <c r="F40" s="13" t="str">
        <f>'Memoria de calculo - NR8'!I84</f>
        <v>Não calculado – denominador ausente</v>
      </c>
      <c r="G40" s="21" t="str">
        <f>'Memoria de calculo - NR8'!H127</f>
        <v>n.c.</v>
      </c>
      <c r="H40" s="13" t="str">
        <f>'Memoria de calculo - NR8'!I127</f>
        <v>Não calculado – denominador ausente</v>
      </c>
      <c r="I40" s="21" t="str">
        <f>'Memoria de calculo - NR8'!H170</f>
        <v>n.c.</v>
      </c>
      <c r="J40" s="13" t="str">
        <f>'Memoria de calculo - NR8'!I170</f>
        <v>Não calculado – denominador ausente</v>
      </c>
      <c r="K40" s="13" t="str">
        <f>'Memoria de calculo - NR8'!J41</f>
        <v>Não</v>
      </c>
      <c r="L40" s="13" t="str">
        <f>'Memoria de calculo - NR8'!J84</f>
        <v>Não</v>
      </c>
      <c r="M40" s="13" t="str">
        <f>'Memoria de calculo - NR8'!J127</f>
        <v>Não</v>
      </c>
      <c r="N40" s="13" t="str">
        <f>'Memoria de calculo - NR8'!J170</f>
        <v>Não</v>
      </c>
      <c r="O40" s="13" t="str">
        <f>IF(NOT(AND(K40="Sim",L40="Sim")),"Não avaliável – resultado sujeito a ressalva/inconsistência",IF(AND(C40&gt;=Parametros!$C$6,E40&gt;=Parametros!$C$6),"Atingida","Não atingida"))</f>
        <v>Não avaliável – resultado sujeito a ressalva/inconsistência</v>
      </c>
      <c r="P40" s="13" t="str">
        <f>IF(NOT(AND(M40="Sim",N40="Sim")),"Não avaliável – resultado sujeito a ressalva/inconsistência",IF(AND(G40&gt;=Parametros!$C$7,I40&gt;=Parametros!$C$7),"Atingida","Não atingida"))</f>
        <v>Não avaliável – resultado sujeito a ressalva/inconsistência</v>
      </c>
      <c r="Q40" s="13" t="str">
        <f>IF(AND(Base_SINISA_Agua!$C40="Ausente",Base_SINISA_Esgoto!$C40="Ausente"),"Não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40" s="13" t="str">
        <f>Controle_Oficios!G40</f>
        <v>Enviado – sem resposta</v>
      </c>
    </row>
    <row r="41" spans="1:18" ht="15" customHeight="1" x14ac:dyDescent="0.35">
      <c r="A41" s="12">
        <v>3120607</v>
      </c>
      <c r="B41" s="12" t="s">
        <v>155</v>
      </c>
      <c r="C41" s="21" t="str">
        <f>'Memoria de calculo - NR8'!H42</f>
        <v>n.c.</v>
      </c>
      <c r="D41" s="13" t="str">
        <f>'Memoria de calculo - NR8'!I42</f>
        <v>Não calculado – denominador ausente</v>
      </c>
      <c r="E41" s="21" t="str">
        <f>'Memoria de calculo - NR8'!H85</f>
        <v>n.c.</v>
      </c>
      <c r="F41" s="13" t="str">
        <f>'Memoria de calculo - NR8'!I85</f>
        <v>Não calculado – denominador ausente</v>
      </c>
      <c r="G41" s="21" t="str">
        <f>'Memoria de calculo - NR8'!H128</f>
        <v>n.c.</v>
      </c>
      <c r="H41" s="13" t="str">
        <f>'Memoria de calculo - NR8'!I128</f>
        <v>Não calculado – denominador ausente</v>
      </c>
      <c r="I41" s="21" t="str">
        <f>'Memoria de calculo - NR8'!H171</f>
        <v>n.c.</v>
      </c>
      <c r="J41" s="13" t="str">
        <f>'Memoria de calculo - NR8'!I171</f>
        <v>Não calculado – denominador ausente</v>
      </c>
      <c r="K41" s="13" t="str">
        <f>'Memoria de calculo - NR8'!J42</f>
        <v>Não</v>
      </c>
      <c r="L41" s="13" t="str">
        <f>'Memoria de calculo - NR8'!J85</f>
        <v>Não</v>
      </c>
      <c r="M41" s="13" t="str">
        <f>'Memoria de calculo - NR8'!J128</f>
        <v>Não</v>
      </c>
      <c r="N41" s="13" t="str">
        <f>'Memoria de calculo - NR8'!J171</f>
        <v>Não</v>
      </c>
      <c r="O41" s="13" t="str">
        <f>IF(NOT(AND(K41="Sim",L41="Sim")),"Não avaliável – resultado sujeito a ressalva/inconsistência",IF(AND(C41&gt;=Parametros!$C$6,E41&gt;=Parametros!$C$6),"Atingida","Não atingida"))</f>
        <v>Não avaliável – resultado sujeito a ressalva/inconsistência</v>
      </c>
      <c r="P41" s="13" t="str">
        <f>IF(NOT(AND(M41="Sim",N41="Sim")),"Não avaliável – resultado sujeito a ressalva/inconsistência",IF(AND(G41&gt;=Parametros!$C$7,I41&gt;=Parametros!$C$7),"Atingida","Não atingida"))</f>
        <v>Não avaliável – resultado sujeito a ressalva/inconsistência</v>
      </c>
      <c r="Q41" s="13" t="str">
        <f>IF(AND(Base_SINISA_Agua!$C41="Ausente",Base_SINISA_Esgoto!$C41="Ausente"),"Não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41" s="13" t="str">
        <f>Controle_Oficios!G41</f>
        <v>Enviado – sem resposta</v>
      </c>
    </row>
    <row r="42" spans="1:18" ht="15" customHeight="1" x14ac:dyDescent="0.35">
      <c r="A42" s="12">
        <v>3115706</v>
      </c>
      <c r="B42" s="12" t="s">
        <v>157</v>
      </c>
      <c r="C42" s="21" t="str">
        <f>'Memoria de calculo - NR8'!H43</f>
        <v>n.c.</v>
      </c>
      <c r="D42" s="13" t="str">
        <f>'Memoria de calculo - NR8'!I43</f>
        <v>Não calculado – denominador ausente</v>
      </c>
      <c r="E42" s="21" t="str">
        <f>'Memoria de calculo - NR8'!H86</f>
        <v>n.c.</v>
      </c>
      <c r="F42" s="13" t="str">
        <f>'Memoria de calculo - NR8'!I86</f>
        <v>Não calculado – denominador ausente</v>
      </c>
      <c r="G42" s="21" t="str">
        <f>'Memoria de calculo - NR8'!H129</f>
        <v>n.c.</v>
      </c>
      <c r="H42" s="13" t="str">
        <f>'Memoria de calculo - NR8'!I129</f>
        <v>Não calculado – denominador ausente</v>
      </c>
      <c r="I42" s="21" t="str">
        <f>'Memoria de calculo - NR8'!H172</f>
        <v>n.c.</v>
      </c>
      <c r="J42" s="13" t="str">
        <f>'Memoria de calculo - NR8'!I172</f>
        <v>Não calculado – denominador ausente</v>
      </c>
      <c r="K42" s="13" t="str">
        <f>'Memoria de calculo - NR8'!J43</f>
        <v>Não</v>
      </c>
      <c r="L42" s="13" t="str">
        <f>'Memoria de calculo - NR8'!J86</f>
        <v>Não</v>
      </c>
      <c r="M42" s="13" t="str">
        <f>'Memoria de calculo - NR8'!J129</f>
        <v>Não</v>
      </c>
      <c r="N42" s="13" t="str">
        <f>'Memoria de calculo - NR8'!J172</f>
        <v>Não</v>
      </c>
      <c r="O42" s="13" t="str">
        <f>IF(NOT(AND(K42="Sim",L42="Sim")),"Não avaliável – resultado sujeito a ressalva/inconsistência",IF(AND(C42&gt;=Parametros!$C$6,E42&gt;=Parametros!$C$6),"Atingida","Não atingida"))</f>
        <v>Não avaliável – resultado sujeito a ressalva/inconsistência</v>
      </c>
      <c r="P42" s="13" t="str">
        <f>IF(NOT(AND(M42="Sim",N42="Sim")),"Não avaliável – resultado sujeito a ressalva/inconsistência",IF(AND(G42&gt;=Parametros!$C$7,I42&gt;=Parametros!$C$7),"Atingida","Não atingida"))</f>
        <v>Não avaliável – resultado sujeito a ressalva/inconsistência</v>
      </c>
      <c r="Q42" s="13" t="str">
        <f>IF(AND(Base_SINISA_Agua!$C42="Ausente",Base_SINISA_Esgoto!$C42="Ausente"),"Não avaliada – informação primária indisponível","Não avaliada – ausência de elementos suficientes para aplicação dos testes de controle")</f>
        <v>Não avaliada – ausência de elementos suficientes para aplicação dos testes de controle</v>
      </c>
      <c r="R42" s="13" t="str">
        <f>Controle_Oficios!G42</f>
        <v>Enviado – sem resposta</v>
      </c>
    </row>
    <row r="44" spans="1:18" ht="15" customHeight="1" x14ac:dyDescent="0.35">
      <c r="B44" s="7" t="s">
        <v>345</v>
      </c>
    </row>
    <row r="45" spans="1:18" ht="15" customHeight="1" x14ac:dyDescent="0.35">
      <c r="B45" s="24" t="s">
        <v>60</v>
      </c>
      <c r="C45" s="7">
        <f>40</f>
        <v>40</v>
      </c>
    </row>
    <row r="46" spans="1:18" ht="15" customHeight="1" x14ac:dyDescent="0.35">
      <c r="B46" s="24" t="s">
        <v>346</v>
      </c>
      <c r="C46" s="7">
        <f>COUNTIF(K3:K42,"Sim")</f>
        <v>28</v>
      </c>
    </row>
    <row r="47" spans="1:18" ht="15" customHeight="1" x14ac:dyDescent="0.35">
      <c r="B47" s="24" t="s">
        <v>347</v>
      </c>
      <c r="C47" s="7">
        <f>COUNTIF(L3:L42,"Sim")</f>
        <v>9</v>
      </c>
    </row>
    <row r="48" spans="1:18" ht="15" customHeight="1" x14ac:dyDescent="0.35">
      <c r="B48" s="24" t="s">
        <v>348</v>
      </c>
      <c r="C48" s="7">
        <f>COUNTIF(M3:M42,"Sim")</f>
        <v>13</v>
      </c>
    </row>
    <row r="49" spans="2:3" ht="15" customHeight="1" x14ac:dyDescent="0.35">
      <c r="B49" s="24" t="s">
        <v>349</v>
      </c>
      <c r="C49" s="7">
        <f>COUNTIF(N3:N42,"Sim")</f>
        <v>6</v>
      </c>
    </row>
    <row r="50" spans="2:3" ht="15" customHeight="1" x14ac:dyDescent="0.35">
      <c r="B50" s="24" t="s">
        <v>350</v>
      </c>
      <c r="C50" s="7">
        <f>COUNTIF(O3:O42,"Atingida")</f>
        <v>4</v>
      </c>
    </row>
    <row r="51" spans="2:3" ht="15" customHeight="1" x14ac:dyDescent="0.35">
      <c r="B51" s="24" t="s">
        <v>351</v>
      </c>
      <c r="C51" s="7">
        <f>COUNTIF(O3:O42,"Não avaliável*")</f>
        <v>31</v>
      </c>
    </row>
    <row r="52" spans="2:3" ht="15" customHeight="1" x14ac:dyDescent="0.35">
      <c r="B52" s="24" t="s">
        <v>352</v>
      </c>
      <c r="C52" s="7">
        <f>COUNTIF(P3:P42,"Atingida")</f>
        <v>0</v>
      </c>
    </row>
    <row r="53" spans="2:3" ht="15" customHeight="1" x14ac:dyDescent="0.35">
      <c r="B53" s="24" t="s">
        <v>353</v>
      </c>
      <c r="C53" s="7">
        <f>COUNTIF(P3:P42,"Não avaliável*")</f>
        <v>34</v>
      </c>
    </row>
    <row r="54" spans="2:3" ht="15" customHeight="1" x14ac:dyDescent="0.35">
      <c r="B54" s="24" t="s">
        <v>354</v>
      </c>
      <c r="C54" s="7">
        <f>COUNTIF(Q3:Q42,"Não avaliada – informação primária indisponível")</f>
        <v>1</v>
      </c>
    </row>
    <row r="55" spans="2:3" ht="15" customHeight="1" x14ac:dyDescent="0.35">
      <c r="B55" s="24" t="s">
        <v>355</v>
      </c>
      <c r="C55" s="7">
        <f>COUNTIF(Q3:Q42,"Não avaliada – ausência de elementos suficientes para aplicação dos testes de controle")</f>
        <v>39</v>
      </c>
    </row>
    <row r="56" spans="2:3" ht="15" customHeight="1" x14ac:dyDescent="0.35">
      <c r="B56" s="24" t="s">
        <v>356</v>
      </c>
      <c r="C56" s="7">
        <f>COUNTIF(R3:R42,"Não enviado/não localizado")</f>
        <v>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328125" defaultRowHeight="14.5" x14ac:dyDescent="0.35"/>
  <cols>
    <col min="1" max="1" width="10" customWidth="1"/>
    <col min="2" max="2" width="22" customWidth="1"/>
    <col min="3" max="3" width="26" customWidth="1"/>
    <col min="4" max="4" width="30" customWidth="1"/>
    <col min="5" max="5" width="22" customWidth="1"/>
    <col min="6" max="6" width="30" customWidth="1"/>
  </cols>
  <sheetData>
    <row r="1" spans="1:6" ht="17.25" customHeight="1" x14ac:dyDescent="0.4">
      <c r="A1" s="6" t="s">
        <v>211</v>
      </c>
    </row>
    <row r="2" spans="1:6" ht="45.75" customHeight="1" x14ac:dyDescent="0.35">
      <c r="A2" s="11" t="s">
        <v>63</v>
      </c>
      <c r="B2" s="11" t="s">
        <v>64</v>
      </c>
      <c r="C2" s="11" t="s">
        <v>65</v>
      </c>
      <c r="D2" s="11" t="s">
        <v>212</v>
      </c>
      <c r="E2" s="11" t="s">
        <v>213</v>
      </c>
      <c r="F2" s="11" t="s">
        <v>214</v>
      </c>
    </row>
    <row r="3" spans="1:6" ht="15" customHeight="1" x14ac:dyDescent="0.35">
      <c r="A3" s="12">
        <v>3100302</v>
      </c>
      <c r="B3" s="12" t="s">
        <v>94</v>
      </c>
      <c r="C3" s="13" t="s">
        <v>95</v>
      </c>
      <c r="D3" s="13" t="s">
        <v>96</v>
      </c>
      <c r="E3" s="13">
        <v>3314</v>
      </c>
      <c r="F3" s="13">
        <v>3722</v>
      </c>
    </row>
    <row r="4" spans="1:6" ht="15" customHeight="1" x14ac:dyDescent="0.35">
      <c r="A4" s="12">
        <v>3100401</v>
      </c>
      <c r="B4" s="12" t="s">
        <v>97</v>
      </c>
      <c r="C4" s="13" t="s">
        <v>95</v>
      </c>
      <c r="D4" s="13" t="s">
        <v>98</v>
      </c>
      <c r="E4" s="13">
        <v>2130</v>
      </c>
      <c r="F4" s="13">
        <v>2130</v>
      </c>
    </row>
    <row r="5" spans="1:6" ht="15" customHeight="1" x14ac:dyDescent="0.35">
      <c r="A5" s="12">
        <v>3101102</v>
      </c>
      <c r="B5" s="12" t="s">
        <v>99</v>
      </c>
      <c r="C5" s="13" t="s">
        <v>95</v>
      </c>
      <c r="D5" s="13" t="s">
        <v>96</v>
      </c>
      <c r="E5" s="13">
        <v>9324</v>
      </c>
      <c r="F5" s="13">
        <v>9601</v>
      </c>
    </row>
    <row r="6" spans="1:6" ht="15" customHeight="1" x14ac:dyDescent="0.35">
      <c r="A6" s="12">
        <v>3108701</v>
      </c>
      <c r="B6" s="12" t="s">
        <v>100</v>
      </c>
      <c r="C6" s="13" t="s">
        <v>95</v>
      </c>
      <c r="D6" s="13" t="s">
        <v>101</v>
      </c>
      <c r="E6" s="13">
        <v>1073</v>
      </c>
      <c r="F6" s="13">
        <v>1073</v>
      </c>
    </row>
    <row r="7" spans="1:6" ht="15" customHeight="1" x14ac:dyDescent="0.35">
      <c r="A7" s="12">
        <v>3113107</v>
      </c>
      <c r="B7" s="12" t="s">
        <v>102</v>
      </c>
      <c r="C7" s="13" t="s">
        <v>95</v>
      </c>
      <c r="D7" s="13" t="s">
        <v>103</v>
      </c>
      <c r="E7" s="13">
        <v>1470</v>
      </c>
      <c r="F7" s="13">
        <v>1470</v>
      </c>
    </row>
    <row r="8" spans="1:6" ht="15" customHeight="1" x14ac:dyDescent="0.35">
      <c r="A8" s="12">
        <v>3113305</v>
      </c>
      <c r="B8" s="12" t="s">
        <v>104</v>
      </c>
      <c r="C8" s="13" t="s">
        <v>95</v>
      </c>
      <c r="D8" s="13" t="s">
        <v>105</v>
      </c>
      <c r="E8" s="13">
        <v>10060</v>
      </c>
      <c r="F8" s="13">
        <v>12877</v>
      </c>
    </row>
    <row r="9" spans="1:6" ht="15" customHeight="1" x14ac:dyDescent="0.35">
      <c r="A9" s="14">
        <v>3116001</v>
      </c>
      <c r="B9" s="14" t="s">
        <v>106</v>
      </c>
      <c r="C9" s="15" t="s">
        <v>107</v>
      </c>
      <c r="D9" s="15"/>
      <c r="E9" s="15"/>
      <c r="F9" s="15"/>
    </row>
    <row r="10" spans="1:6" ht="15" customHeight="1" x14ac:dyDescent="0.35">
      <c r="A10" s="12">
        <v>3118403</v>
      </c>
      <c r="B10" s="12" t="s">
        <v>108</v>
      </c>
      <c r="C10" s="13" t="s">
        <v>95</v>
      </c>
      <c r="D10" s="13" t="s">
        <v>96</v>
      </c>
      <c r="E10" s="13">
        <v>8369</v>
      </c>
      <c r="F10" s="13">
        <v>8503</v>
      </c>
    </row>
    <row r="11" spans="1:6" ht="15" customHeight="1" x14ac:dyDescent="0.35">
      <c r="A11" s="12">
        <v>3127701</v>
      </c>
      <c r="B11" s="12" t="s">
        <v>109</v>
      </c>
      <c r="C11" s="13" t="s">
        <v>95</v>
      </c>
      <c r="D11" s="13" t="s">
        <v>96</v>
      </c>
      <c r="E11" s="13">
        <v>92651</v>
      </c>
      <c r="F11" s="13">
        <v>126757</v>
      </c>
    </row>
    <row r="12" spans="1:6" ht="15" customHeight="1" x14ac:dyDescent="0.35">
      <c r="A12" s="12">
        <v>3128402</v>
      </c>
      <c r="B12" s="12" t="s">
        <v>111</v>
      </c>
      <c r="C12" s="13" t="s">
        <v>95</v>
      </c>
      <c r="D12" s="13" t="s">
        <v>112</v>
      </c>
      <c r="E12" s="13">
        <v>2642</v>
      </c>
      <c r="F12" s="13">
        <v>2642</v>
      </c>
    </row>
    <row r="13" spans="1:6" ht="15" customHeight="1" x14ac:dyDescent="0.35">
      <c r="A13" s="12">
        <v>3131208</v>
      </c>
      <c r="B13" s="12" t="s">
        <v>113</v>
      </c>
      <c r="C13" s="13" t="s">
        <v>95</v>
      </c>
      <c r="D13" s="13" t="s">
        <v>96</v>
      </c>
      <c r="E13" s="13">
        <v>7743</v>
      </c>
      <c r="F13" s="13">
        <v>7813</v>
      </c>
    </row>
    <row r="14" spans="1:6" ht="15" customHeight="1" x14ac:dyDescent="0.35">
      <c r="A14" s="12">
        <v>3132701</v>
      </c>
      <c r="B14" s="12" t="s">
        <v>114</v>
      </c>
      <c r="C14" s="13" t="s">
        <v>95</v>
      </c>
      <c r="D14" s="13" t="s">
        <v>96</v>
      </c>
      <c r="E14" s="13">
        <v>5100</v>
      </c>
      <c r="F14" s="13">
        <v>5923</v>
      </c>
    </row>
    <row r="15" spans="1:6" ht="15" customHeight="1" x14ac:dyDescent="0.35">
      <c r="A15" s="14">
        <v>3135076</v>
      </c>
      <c r="B15" s="14" t="s">
        <v>115</v>
      </c>
      <c r="C15" s="15" t="s">
        <v>107</v>
      </c>
      <c r="D15" s="15"/>
      <c r="E15" s="15"/>
      <c r="F15" s="15"/>
    </row>
    <row r="16" spans="1:6" ht="15" customHeight="1" x14ac:dyDescent="0.35">
      <c r="A16" s="12">
        <v>3135407</v>
      </c>
      <c r="B16" s="12" t="s">
        <v>117</v>
      </c>
      <c r="C16" s="13" t="s">
        <v>95</v>
      </c>
      <c r="D16" s="13" t="s">
        <v>118</v>
      </c>
      <c r="E16" s="13">
        <v>1801</v>
      </c>
      <c r="F16" s="13">
        <v>3378</v>
      </c>
    </row>
    <row r="17" spans="1:6" ht="15" customHeight="1" x14ac:dyDescent="0.35">
      <c r="A17" s="12">
        <v>3135506</v>
      </c>
      <c r="B17" s="12" t="s">
        <v>119</v>
      </c>
      <c r="C17" s="13" t="s">
        <v>95</v>
      </c>
      <c r="D17" s="13" t="s">
        <v>120</v>
      </c>
      <c r="E17" s="13">
        <v>2494</v>
      </c>
      <c r="F17" s="13">
        <v>2684</v>
      </c>
    </row>
    <row r="18" spans="1:6" ht="15" customHeight="1" x14ac:dyDescent="0.35">
      <c r="A18" s="12">
        <v>3137700</v>
      </c>
      <c r="B18" s="12" t="s">
        <v>121</v>
      </c>
      <c r="C18" s="13" t="s">
        <v>95</v>
      </c>
      <c r="D18" s="13" t="s">
        <v>96</v>
      </c>
      <c r="E18" s="13">
        <v>3335</v>
      </c>
      <c r="F18" s="13">
        <v>3844</v>
      </c>
    </row>
    <row r="19" spans="1:6" ht="15" customHeight="1" x14ac:dyDescent="0.35">
      <c r="A19" s="12">
        <v>3138609</v>
      </c>
      <c r="B19" s="12" t="s">
        <v>122</v>
      </c>
      <c r="C19" s="13" t="s">
        <v>95</v>
      </c>
      <c r="D19" s="13" t="s">
        <v>120</v>
      </c>
      <c r="E19" s="13">
        <v>7214</v>
      </c>
      <c r="F19" s="13">
        <v>7734</v>
      </c>
    </row>
    <row r="20" spans="1:6" ht="15" customHeight="1" x14ac:dyDescent="0.35">
      <c r="A20" s="12">
        <v>3139409</v>
      </c>
      <c r="B20" s="12" t="s">
        <v>123</v>
      </c>
      <c r="C20" s="13" t="s">
        <v>95</v>
      </c>
      <c r="D20" s="13" t="s">
        <v>124</v>
      </c>
      <c r="E20" s="13">
        <v>23635</v>
      </c>
      <c r="F20" s="13">
        <v>31743</v>
      </c>
    </row>
    <row r="21" spans="1:6" ht="15" customHeight="1" x14ac:dyDescent="0.35">
      <c r="A21" s="14">
        <v>3139508</v>
      </c>
      <c r="B21" s="14" t="s">
        <v>125</v>
      </c>
      <c r="C21" s="15" t="s">
        <v>107</v>
      </c>
      <c r="D21" s="15"/>
      <c r="E21" s="15"/>
      <c r="F21" s="15"/>
    </row>
    <row r="22" spans="1:6" ht="15" customHeight="1" x14ac:dyDescent="0.35">
      <c r="A22" s="12">
        <v>3139607</v>
      </c>
      <c r="B22" s="12" t="s">
        <v>126</v>
      </c>
      <c r="C22" s="13" t="s">
        <v>95</v>
      </c>
      <c r="D22" s="13" t="s">
        <v>96</v>
      </c>
      <c r="E22" s="13">
        <v>9779</v>
      </c>
      <c r="F22" s="13">
        <v>9890</v>
      </c>
    </row>
    <row r="23" spans="1:6" ht="15" customHeight="1" x14ac:dyDescent="0.35">
      <c r="A23" s="12">
        <v>3140001</v>
      </c>
      <c r="B23" s="12" t="s">
        <v>127</v>
      </c>
      <c r="C23" s="13" t="s">
        <v>95</v>
      </c>
      <c r="D23" s="13" t="s">
        <v>128</v>
      </c>
      <c r="E23" s="13">
        <v>20508</v>
      </c>
      <c r="F23" s="13">
        <v>22800</v>
      </c>
    </row>
    <row r="24" spans="1:6" ht="15" customHeight="1" x14ac:dyDescent="0.35">
      <c r="A24" s="12">
        <v>3143906</v>
      </c>
      <c r="B24" s="12" t="s">
        <v>129</v>
      </c>
      <c r="C24" s="13" t="s">
        <v>95</v>
      </c>
      <c r="D24" s="13" t="s">
        <v>130</v>
      </c>
      <c r="E24" s="13">
        <v>38394</v>
      </c>
      <c r="F24" s="13">
        <v>44719</v>
      </c>
    </row>
    <row r="25" spans="1:6" ht="15" customHeight="1" x14ac:dyDescent="0.35">
      <c r="A25" s="12">
        <v>3145851</v>
      </c>
      <c r="B25" s="12" t="s">
        <v>131</v>
      </c>
      <c r="C25" s="13" t="s">
        <v>95</v>
      </c>
      <c r="D25" s="13" t="s">
        <v>174</v>
      </c>
      <c r="E25" s="13">
        <v>1264</v>
      </c>
      <c r="F25" s="13">
        <v>1267</v>
      </c>
    </row>
    <row r="26" spans="1:6" ht="15" customHeight="1" x14ac:dyDescent="0.35">
      <c r="A26" s="12">
        <v>3150604</v>
      </c>
      <c r="B26" s="12" t="s">
        <v>132</v>
      </c>
      <c r="C26" s="13" t="s">
        <v>95</v>
      </c>
      <c r="D26" s="13" t="s">
        <v>133</v>
      </c>
      <c r="E26" s="13">
        <v>2557</v>
      </c>
      <c r="F26" s="13">
        <v>2694</v>
      </c>
    </row>
    <row r="27" spans="1:6" ht="15" customHeight="1" x14ac:dyDescent="0.35">
      <c r="A27" s="12">
        <v>3151909</v>
      </c>
      <c r="B27" s="12" t="s">
        <v>134</v>
      </c>
      <c r="C27" s="13" t="s">
        <v>95</v>
      </c>
      <c r="D27" s="13" t="s">
        <v>96</v>
      </c>
      <c r="E27" s="13">
        <v>2840</v>
      </c>
      <c r="F27" s="13">
        <v>3054</v>
      </c>
    </row>
    <row r="28" spans="1:6" ht="15" customHeight="1" x14ac:dyDescent="0.35">
      <c r="A28" s="12">
        <v>3152105</v>
      </c>
      <c r="B28" s="12" t="s">
        <v>135</v>
      </c>
      <c r="C28" s="13" t="s">
        <v>95</v>
      </c>
      <c r="D28" s="13" t="s">
        <v>136</v>
      </c>
      <c r="E28" s="13">
        <v>18344</v>
      </c>
      <c r="F28" s="13">
        <v>23626</v>
      </c>
    </row>
    <row r="29" spans="1:6" ht="15" customHeight="1" x14ac:dyDescent="0.35">
      <c r="A29" s="12">
        <v>3154002</v>
      </c>
      <c r="B29" s="12" t="s">
        <v>137</v>
      </c>
      <c r="C29" s="13" t="s">
        <v>95</v>
      </c>
      <c r="D29" s="13" t="s">
        <v>96</v>
      </c>
      <c r="E29" s="13">
        <v>7502</v>
      </c>
      <c r="F29" s="13">
        <v>7806</v>
      </c>
    </row>
    <row r="30" spans="1:6" ht="15" customHeight="1" x14ac:dyDescent="0.35">
      <c r="A30" s="12">
        <v>3154101</v>
      </c>
      <c r="B30" s="12" t="s">
        <v>138</v>
      </c>
      <c r="C30" s="13" t="s">
        <v>95</v>
      </c>
      <c r="D30" s="13" t="s">
        <v>96</v>
      </c>
      <c r="E30" s="13">
        <v>3190</v>
      </c>
      <c r="F30" s="13">
        <v>3190</v>
      </c>
    </row>
    <row r="31" spans="1:6" ht="15" customHeight="1" x14ac:dyDescent="0.35">
      <c r="A31" s="12">
        <v>3154150</v>
      </c>
      <c r="B31" s="12" t="s">
        <v>139</v>
      </c>
      <c r="C31" s="13" t="s">
        <v>95</v>
      </c>
      <c r="D31" s="13" t="s">
        <v>140</v>
      </c>
      <c r="E31" s="13">
        <v>1995</v>
      </c>
      <c r="F31" s="13">
        <v>2015</v>
      </c>
    </row>
    <row r="32" spans="1:6" ht="15" customHeight="1" x14ac:dyDescent="0.35">
      <c r="A32" s="12">
        <v>3165701</v>
      </c>
      <c r="B32" s="12" t="s">
        <v>141</v>
      </c>
      <c r="C32" s="13" t="s">
        <v>95</v>
      </c>
      <c r="D32" s="13" t="s">
        <v>96</v>
      </c>
      <c r="E32" s="13">
        <v>2554</v>
      </c>
      <c r="F32" s="13">
        <v>2825</v>
      </c>
    </row>
    <row r="33" spans="1:6" ht="15" customHeight="1" x14ac:dyDescent="0.35">
      <c r="A33" s="12">
        <v>3161403</v>
      </c>
      <c r="B33" s="12" t="s">
        <v>142</v>
      </c>
      <c r="C33" s="13" t="s">
        <v>95</v>
      </c>
      <c r="D33" s="13" t="s">
        <v>143</v>
      </c>
      <c r="E33" s="13">
        <v>1403</v>
      </c>
      <c r="F33" s="13">
        <v>1403</v>
      </c>
    </row>
    <row r="34" spans="1:6" ht="15" customHeight="1" x14ac:dyDescent="0.35">
      <c r="A34" s="12">
        <v>3168051</v>
      </c>
      <c r="B34" s="12" t="s">
        <v>144</v>
      </c>
      <c r="C34" s="13" t="s">
        <v>95</v>
      </c>
      <c r="D34" s="13" t="s">
        <v>145</v>
      </c>
      <c r="E34" s="13">
        <v>1015</v>
      </c>
      <c r="F34" s="13">
        <v>1015</v>
      </c>
    </row>
    <row r="35" spans="1:6" ht="15" customHeight="1" x14ac:dyDescent="0.35">
      <c r="A35" s="12">
        <v>3169000</v>
      </c>
      <c r="B35" s="12" t="s">
        <v>146</v>
      </c>
      <c r="C35" s="13" t="s">
        <v>95</v>
      </c>
      <c r="D35" s="13" t="s">
        <v>147</v>
      </c>
      <c r="E35" s="13">
        <v>5699</v>
      </c>
      <c r="F35" s="13">
        <v>5699</v>
      </c>
    </row>
    <row r="36" spans="1:6" ht="15" customHeight="1" x14ac:dyDescent="0.35">
      <c r="A36" s="12">
        <v>3169208</v>
      </c>
      <c r="B36" s="12" t="s">
        <v>148</v>
      </c>
      <c r="C36" s="13" t="s">
        <v>95</v>
      </c>
      <c r="D36" s="13" t="s">
        <v>96</v>
      </c>
      <c r="E36" s="13">
        <v>3264</v>
      </c>
      <c r="F36" s="13">
        <v>3264</v>
      </c>
    </row>
    <row r="37" spans="1:6" ht="15" customHeight="1" x14ac:dyDescent="0.35">
      <c r="A37" s="12">
        <v>3171154</v>
      </c>
      <c r="B37" s="12" t="s">
        <v>149</v>
      </c>
      <c r="C37" s="13" t="s">
        <v>95</v>
      </c>
      <c r="D37" s="13" t="s">
        <v>96</v>
      </c>
      <c r="E37" s="13">
        <v>1049</v>
      </c>
      <c r="F37" s="13">
        <v>1084</v>
      </c>
    </row>
    <row r="38" spans="1:6" ht="15" customHeight="1" x14ac:dyDescent="0.35">
      <c r="A38" s="12">
        <v>3171303</v>
      </c>
      <c r="B38" s="12" t="s">
        <v>150</v>
      </c>
      <c r="C38" s="13" t="s">
        <v>95</v>
      </c>
      <c r="D38" s="13" t="s">
        <v>96</v>
      </c>
      <c r="E38" s="13">
        <v>22536</v>
      </c>
      <c r="F38" s="13">
        <v>37285</v>
      </c>
    </row>
    <row r="39" spans="1:6" ht="15" customHeight="1" x14ac:dyDescent="0.35">
      <c r="A39" s="12">
        <v>3167202</v>
      </c>
      <c r="B39" s="12" t="s">
        <v>151</v>
      </c>
      <c r="C39" s="13" t="s">
        <v>95</v>
      </c>
      <c r="D39" s="13" t="s">
        <v>152</v>
      </c>
      <c r="E39" s="13">
        <v>82174</v>
      </c>
      <c r="F39" s="13">
        <v>92509</v>
      </c>
    </row>
    <row r="40" spans="1:6" ht="15" customHeight="1" x14ac:dyDescent="0.35">
      <c r="A40" s="12">
        <v>3146305</v>
      </c>
      <c r="B40" s="12" t="s">
        <v>153</v>
      </c>
      <c r="C40" s="13" t="s">
        <v>95</v>
      </c>
      <c r="D40" s="13" t="s">
        <v>215</v>
      </c>
      <c r="E40" s="13">
        <v>4758</v>
      </c>
      <c r="F40" s="13">
        <v>4953</v>
      </c>
    </row>
    <row r="41" spans="1:6" ht="15" customHeight="1" x14ac:dyDescent="0.35">
      <c r="A41" s="12">
        <v>3120607</v>
      </c>
      <c r="B41" s="12" t="s">
        <v>155</v>
      </c>
      <c r="C41" s="13" t="s">
        <v>95</v>
      </c>
      <c r="D41" s="13" t="s">
        <v>156</v>
      </c>
      <c r="E41" s="13">
        <v>1707</v>
      </c>
      <c r="F41" s="13">
        <v>1877</v>
      </c>
    </row>
    <row r="42" spans="1:6" ht="15" customHeight="1" x14ac:dyDescent="0.35">
      <c r="A42" s="12">
        <v>3115706</v>
      </c>
      <c r="B42" s="12" t="s">
        <v>157</v>
      </c>
      <c r="C42" s="13" t="s">
        <v>95</v>
      </c>
      <c r="D42" s="13" t="s">
        <v>96</v>
      </c>
      <c r="E42" s="13">
        <v>2675</v>
      </c>
      <c r="F42" s="13">
        <v>2720</v>
      </c>
    </row>
    <row r="44" spans="1:6" ht="15" customHeight="1" x14ac:dyDescent="0.35">
      <c r="B44" s="9" t="s">
        <v>216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328125" defaultRowHeight="14.5" x14ac:dyDescent="0.35"/>
  <cols>
    <col min="1" max="1" width="10" customWidth="1"/>
    <col min="2" max="2" width="22" customWidth="1"/>
    <col min="3" max="3" width="26" customWidth="1"/>
    <col min="4" max="5" width="32" customWidth="1"/>
  </cols>
  <sheetData>
    <row r="1" spans="1:5" ht="17.25" customHeight="1" x14ac:dyDescent="0.4">
      <c r="A1" s="6" t="s">
        <v>217</v>
      </c>
    </row>
    <row r="2" spans="1:5" ht="45.75" customHeight="1" x14ac:dyDescent="0.35">
      <c r="A2" s="11" t="s">
        <v>63</v>
      </c>
      <c r="B2" s="11" t="s">
        <v>64</v>
      </c>
      <c r="C2" s="11" t="s">
        <v>65</v>
      </c>
      <c r="D2" s="11" t="s">
        <v>212</v>
      </c>
      <c r="E2" s="11" t="s">
        <v>218</v>
      </c>
    </row>
    <row r="3" spans="1:5" ht="15" customHeight="1" x14ac:dyDescent="0.35">
      <c r="A3" s="12">
        <v>3100302</v>
      </c>
      <c r="B3" s="12" t="s">
        <v>94</v>
      </c>
      <c r="C3" s="13" t="s">
        <v>95</v>
      </c>
      <c r="D3" s="13" t="s">
        <v>96</v>
      </c>
      <c r="E3" s="13">
        <v>79.23</v>
      </c>
    </row>
    <row r="4" spans="1:5" ht="15" customHeight="1" x14ac:dyDescent="0.35">
      <c r="A4" s="12">
        <v>3100401</v>
      </c>
      <c r="B4" s="12" t="s">
        <v>97</v>
      </c>
      <c r="C4" s="13" t="s">
        <v>95</v>
      </c>
      <c r="D4" s="13" t="s">
        <v>98</v>
      </c>
      <c r="E4" s="13">
        <v>21.6</v>
      </c>
    </row>
    <row r="5" spans="1:5" ht="15" customHeight="1" x14ac:dyDescent="0.35">
      <c r="A5" s="12">
        <v>3101102</v>
      </c>
      <c r="B5" s="12" t="s">
        <v>99</v>
      </c>
      <c r="C5" s="13" t="s">
        <v>95</v>
      </c>
      <c r="D5" s="13" t="s">
        <v>96</v>
      </c>
      <c r="E5" s="13">
        <v>104</v>
      </c>
    </row>
    <row r="6" spans="1:5" ht="15" customHeight="1" x14ac:dyDescent="0.35">
      <c r="A6" s="14">
        <v>3108701</v>
      </c>
      <c r="B6" s="14" t="s">
        <v>100</v>
      </c>
      <c r="C6" s="15" t="s">
        <v>107</v>
      </c>
      <c r="D6" s="15"/>
      <c r="E6" s="15"/>
    </row>
    <row r="7" spans="1:5" ht="15" customHeight="1" x14ac:dyDescent="0.35">
      <c r="A7" s="12">
        <v>3113107</v>
      </c>
      <c r="B7" s="12" t="s">
        <v>102</v>
      </c>
      <c r="C7" s="13" t="s">
        <v>95</v>
      </c>
      <c r="D7" s="13" t="s">
        <v>103</v>
      </c>
      <c r="E7" s="13">
        <v>10</v>
      </c>
    </row>
    <row r="8" spans="1:5" ht="15" customHeight="1" x14ac:dyDescent="0.35">
      <c r="A8" s="12">
        <v>3113305</v>
      </c>
      <c r="B8" s="12" t="s">
        <v>104</v>
      </c>
      <c r="C8" s="13" t="s">
        <v>95</v>
      </c>
      <c r="D8" s="13" t="s">
        <v>105</v>
      </c>
      <c r="E8" s="13">
        <v>46</v>
      </c>
    </row>
    <row r="9" spans="1:5" ht="15" customHeight="1" x14ac:dyDescent="0.35">
      <c r="A9" s="14">
        <v>3116001</v>
      </c>
      <c r="B9" s="14" t="s">
        <v>106</v>
      </c>
      <c r="C9" s="15" t="s">
        <v>107</v>
      </c>
      <c r="D9" s="15"/>
      <c r="E9" s="15"/>
    </row>
    <row r="10" spans="1:5" ht="15" customHeight="1" x14ac:dyDescent="0.35">
      <c r="A10" s="12">
        <v>3118403</v>
      </c>
      <c r="B10" s="12" t="s">
        <v>108</v>
      </c>
      <c r="C10" s="13" t="s">
        <v>95</v>
      </c>
      <c r="D10" s="13" t="s">
        <v>96</v>
      </c>
      <c r="E10" s="13">
        <v>77</v>
      </c>
    </row>
    <row r="11" spans="1:5" ht="15" customHeight="1" x14ac:dyDescent="0.35">
      <c r="A11" s="12">
        <v>3127701</v>
      </c>
      <c r="B11" s="12" t="s">
        <v>109</v>
      </c>
      <c r="C11" s="13" t="s">
        <v>95</v>
      </c>
      <c r="D11" s="13" t="s">
        <v>96</v>
      </c>
      <c r="E11" s="13">
        <v>730.94</v>
      </c>
    </row>
    <row r="12" spans="1:5" ht="15" customHeight="1" x14ac:dyDescent="0.35">
      <c r="A12" s="12">
        <v>3128402</v>
      </c>
      <c r="B12" s="12" t="s">
        <v>111</v>
      </c>
      <c r="C12" s="13" t="s">
        <v>95</v>
      </c>
      <c r="D12" s="13" t="s">
        <v>112</v>
      </c>
      <c r="E12" s="13">
        <v>37</v>
      </c>
    </row>
    <row r="13" spans="1:5" ht="15" customHeight="1" x14ac:dyDescent="0.35">
      <c r="A13" s="12">
        <v>3131208</v>
      </c>
      <c r="B13" s="12" t="s">
        <v>113</v>
      </c>
      <c r="C13" s="13" t="s">
        <v>95</v>
      </c>
      <c r="D13" s="13" t="s">
        <v>96</v>
      </c>
      <c r="E13" s="13">
        <v>60</v>
      </c>
    </row>
    <row r="14" spans="1:5" ht="15" customHeight="1" x14ac:dyDescent="0.35">
      <c r="A14" s="12">
        <v>3132701</v>
      </c>
      <c r="B14" s="12" t="s">
        <v>114</v>
      </c>
      <c r="C14" s="13" t="s">
        <v>95</v>
      </c>
      <c r="D14" s="13" t="s">
        <v>96</v>
      </c>
      <c r="E14" s="13">
        <v>50</v>
      </c>
    </row>
    <row r="15" spans="1:5" ht="15" customHeight="1" x14ac:dyDescent="0.35">
      <c r="A15" s="14">
        <v>3135076</v>
      </c>
      <c r="B15" s="14" t="s">
        <v>115</v>
      </c>
      <c r="C15" s="15" t="s">
        <v>107</v>
      </c>
      <c r="D15" s="15"/>
      <c r="E15" s="15"/>
    </row>
    <row r="16" spans="1:5" ht="15" customHeight="1" x14ac:dyDescent="0.35">
      <c r="A16" s="12">
        <v>3135407</v>
      </c>
      <c r="B16" s="12" t="s">
        <v>117</v>
      </c>
      <c r="C16" s="13" t="s">
        <v>95</v>
      </c>
      <c r="D16" s="13" t="s">
        <v>118</v>
      </c>
      <c r="E16" s="13">
        <v>25</v>
      </c>
    </row>
    <row r="17" spans="1:5" ht="15" customHeight="1" x14ac:dyDescent="0.35">
      <c r="A17" s="12">
        <v>3135506</v>
      </c>
      <c r="B17" s="12" t="s">
        <v>119</v>
      </c>
      <c r="C17" s="13" t="s">
        <v>95</v>
      </c>
      <c r="D17" s="13" t="s">
        <v>120</v>
      </c>
      <c r="E17" s="13">
        <v>16.260000000000002</v>
      </c>
    </row>
    <row r="18" spans="1:5" ht="15" customHeight="1" x14ac:dyDescent="0.35">
      <c r="A18" s="12">
        <v>3137700</v>
      </c>
      <c r="B18" s="12" t="s">
        <v>121</v>
      </c>
      <c r="C18" s="13" t="s">
        <v>95</v>
      </c>
      <c r="D18" s="13" t="s">
        <v>96</v>
      </c>
      <c r="E18" s="13">
        <v>19</v>
      </c>
    </row>
    <row r="19" spans="1:5" ht="15" customHeight="1" x14ac:dyDescent="0.35">
      <c r="A19" s="12">
        <v>3138609</v>
      </c>
      <c r="B19" s="12" t="s">
        <v>122</v>
      </c>
      <c r="C19" s="13" t="s">
        <v>95</v>
      </c>
      <c r="D19" s="13" t="s">
        <v>120</v>
      </c>
      <c r="E19" s="13">
        <v>37</v>
      </c>
    </row>
    <row r="20" spans="1:5" ht="15" customHeight="1" x14ac:dyDescent="0.35">
      <c r="A20" s="12">
        <v>3139409</v>
      </c>
      <c r="B20" s="12" t="s">
        <v>123</v>
      </c>
      <c r="C20" s="13" t="s">
        <v>95</v>
      </c>
      <c r="D20" s="13" t="s">
        <v>124</v>
      </c>
      <c r="E20" s="13">
        <v>174</v>
      </c>
    </row>
    <row r="21" spans="1:5" ht="15" customHeight="1" x14ac:dyDescent="0.35">
      <c r="A21" s="14">
        <v>3139508</v>
      </c>
      <c r="B21" s="14" t="s">
        <v>125</v>
      </c>
      <c r="C21" s="15" t="s">
        <v>107</v>
      </c>
      <c r="D21" s="15"/>
      <c r="E21" s="15"/>
    </row>
    <row r="22" spans="1:5" ht="15" customHeight="1" x14ac:dyDescent="0.35">
      <c r="A22" s="12">
        <v>3139607</v>
      </c>
      <c r="B22" s="12" t="s">
        <v>126</v>
      </c>
      <c r="C22" s="13" t="s">
        <v>95</v>
      </c>
      <c r="D22" s="13" t="s">
        <v>96</v>
      </c>
      <c r="E22" s="13">
        <v>160</v>
      </c>
    </row>
    <row r="23" spans="1:5" ht="15" customHeight="1" x14ac:dyDescent="0.35">
      <c r="A23" s="12">
        <v>3140001</v>
      </c>
      <c r="B23" s="12" t="s">
        <v>127</v>
      </c>
      <c r="C23" s="13" t="s">
        <v>95</v>
      </c>
      <c r="D23" s="13" t="s">
        <v>128</v>
      </c>
      <c r="E23" s="13">
        <v>233.91</v>
      </c>
    </row>
    <row r="24" spans="1:5" ht="15" customHeight="1" x14ac:dyDescent="0.35">
      <c r="A24" s="12">
        <v>3143906</v>
      </c>
      <c r="B24" s="12" t="s">
        <v>129</v>
      </c>
      <c r="C24" s="13" t="s">
        <v>95</v>
      </c>
      <c r="D24" s="13" t="s">
        <v>130</v>
      </c>
      <c r="E24" s="13">
        <v>489.73</v>
      </c>
    </row>
    <row r="25" spans="1:5" ht="15" customHeight="1" x14ac:dyDescent="0.35">
      <c r="A25" s="12">
        <v>3145851</v>
      </c>
      <c r="B25" s="12" t="s">
        <v>131</v>
      </c>
      <c r="C25" s="13" t="s">
        <v>95</v>
      </c>
      <c r="D25" s="13" t="s">
        <v>174</v>
      </c>
      <c r="E25" s="13">
        <v>9.5</v>
      </c>
    </row>
    <row r="26" spans="1:5" ht="15" customHeight="1" x14ac:dyDescent="0.35">
      <c r="A26" s="12">
        <v>3150604</v>
      </c>
      <c r="B26" s="12" t="s">
        <v>132</v>
      </c>
      <c r="C26" s="13" t="s">
        <v>95</v>
      </c>
      <c r="D26" s="13" t="s">
        <v>133</v>
      </c>
      <c r="E26" s="13">
        <v>10</v>
      </c>
    </row>
    <row r="27" spans="1:5" ht="15" customHeight="1" x14ac:dyDescent="0.35">
      <c r="A27" s="12">
        <v>3151909</v>
      </c>
      <c r="B27" s="12" t="s">
        <v>134</v>
      </c>
      <c r="C27" s="13" t="s">
        <v>95</v>
      </c>
      <c r="D27" s="13" t="s">
        <v>96</v>
      </c>
      <c r="E27" s="13">
        <v>0.5</v>
      </c>
    </row>
    <row r="28" spans="1:5" ht="15" customHeight="1" x14ac:dyDescent="0.35">
      <c r="A28" s="12">
        <v>3152105</v>
      </c>
      <c r="B28" s="12" t="s">
        <v>135</v>
      </c>
      <c r="C28" s="13" t="s">
        <v>95</v>
      </c>
      <c r="D28" s="13" t="s">
        <v>136</v>
      </c>
      <c r="E28" s="13">
        <v>398</v>
      </c>
    </row>
    <row r="29" spans="1:5" ht="15" customHeight="1" x14ac:dyDescent="0.35">
      <c r="A29" s="12">
        <v>3154002</v>
      </c>
      <c r="B29" s="12" t="s">
        <v>137</v>
      </c>
      <c r="C29" s="13" t="s">
        <v>95</v>
      </c>
      <c r="D29" s="13" t="s">
        <v>96</v>
      </c>
      <c r="E29" s="13">
        <v>59.18</v>
      </c>
    </row>
    <row r="30" spans="1:5" ht="15" customHeight="1" x14ac:dyDescent="0.35">
      <c r="A30" s="12">
        <v>3154101</v>
      </c>
      <c r="B30" s="12" t="s">
        <v>138</v>
      </c>
      <c r="C30" s="13" t="s">
        <v>95</v>
      </c>
      <c r="D30" s="13" t="s">
        <v>96</v>
      </c>
      <c r="E30" s="13">
        <v>27</v>
      </c>
    </row>
    <row r="31" spans="1:5" ht="15" customHeight="1" x14ac:dyDescent="0.35">
      <c r="A31" s="12">
        <v>3154150</v>
      </c>
      <c r="B31" s="12" t="s">
        <v>139</v>
      </c>
      <c r="C31" s="13" t="s">
        <v>95</v>
      </c>
      <c r="D31" s="13" t="s">
        <v>140</v>
      </c>
      <c r="E31" s="13">
        <v>16</v>
      </c>
    </row>
    <row r="32" spans="1:5" ht="15" customHeight="1" x14ac:dyDescent="0.35">
      <c r="A32" s="12">
        <v>3165701</v>
      </c>
      <c r="B32" s="12" t="s">
        <v>141</v>
      </c>
      <c r="C32" s="13" t="s">
        <v>95</v>
      </c>
      <c r="D32" s="13" t="s">
        <v>96</v>
      </c>
      <c r="E32" s="13">
        <v>24.51</v>
      </c>
    </row>
    <row r="33" spans="1:5" ht="15" customHeight="1" x14ac:dyDescent="0.35">
      <c r="A33" s="12">
        <v>3161403</v>
      </c>
      <c r="B33" s="12" t="s">
        <v>142</v>
      </c>
      <c r="C33" s="13" t="s">
        <v>95</v>
      </c>
      <c r="D33" s="13" t="s">
        <v>143</v>
      </c>
      <c r="E33" s="13">
        <v>19</v>
      </c>
    </row>
    <row r="34" spans="1:5" ht="15" customHeight="1" x14ac:dyDescent="0.35">
      <c r="A34" s="12">
        <v>3168051</v>
      </c>
      <c r="B34" s="12" t="s">
        <v>144</v>
      </c>
      <c r="C34" s="13" t="s">
        <v>95</v>
      </c>
      <c r="D34" s="13" t="s">
        <v>145</v>
      </c>
      <c r="E34" s="13">
        <v>30</v>
      </c>
    </row>
    <row r="35" spans="1:5" ht="15" customHeight="1" x14ac:dyDescent="0.35">
      <c r="A35" s="12">
        <v>3169000</v>
      </c>
      <c r="B35" s="12" t="s">
        <v>146</v>
      </c>
      <c r="C35" s="13" t="s">
        <v>95</v>
      </c>
      <c r="D35" s="13" t="s">
        <v>147</v>
      </c>
      <c r="E35" s="13">
        <v>50</v>
      </c>
    </row>
    <row r="36" spans="1:5" ht="15" customHeight="1" x14ac:dyDescent="0.35">
      <c r="A36" s="12">
        <v>3169208</v>
      </c>
      <c r="B36" s="12" t="s">
        <v>148</v>
      </c>
      <c r="C36" s="13" t="s">
        <v>95</v>
      </c>
      <c r="D36" s="13" t="s">
        <v>96</v>
      </c>
      <c r="E36" s="13">
        <v>25</v>
      </c>
    </row>
    <row r="37" spans="1:5" ht="15" customHeight="1" x14ac:dyDescent="0.35">
      <c r="A37" s="12">
        <v>3171154</v>
      </c>
      <c r="B37" s="12" t="s">
        <v>149</v>
      </c>
      <c r="C37" s="13" t="s">
        <v>95</v>
      </c>
      <c r="D37" s="13" t="s">
        <v>96</v>
      </c>
      <c r="E37" s="13">
        <v>14</v>
      </c>
    </row>
    <row r="38" spans="1:5" ht="15" customHeight="1" x14ac:dyDescent="0.35">
      <c r="A38" s="12">
        <v>3171303</v>
      </c>
      <c r="B38" s="12" t="s">
        <v>150</v>
      </c>
      <c r="C38" s="13" t="s">
        <v>95</v>
      </c>
      <c r="D38" s="13" t="s">
        <v>96</v>
      </c>
      <c r="E38" s="13">
        <v>228.7</v>
      </c>
    </row>
    <row r="39" spans="1:5" ht="15" customHeight="1" x14ac:dyDescent="0.35">
      <c r="A39" s="12">
        <v>3167202</v>
      </c>
      <c r="B39" s="12" t="s">
        <v>151</v>
      </c>
      <c r="C39" s="13" t="s">
        <v>95</v>
      </c>
      <c r="D39" s="13" t="s">
        <v>152</v>
      </c>
      <c r="E39" s="13">
        <v>996.93</v>
      </c>
    </row>
    <row r="40" spans="1:5" ht="15" customHeight="1" x14ac:dyDescent="0.35">
      <c r="A40" s="12">
        <v>3146305</v>
      </c>
      <c r="B40" s="12" t="s">
        <v>153</v>
      </c>
      <c r="C40" s="13" t="s">
        <v>95</v>
      </c>
      <c r="D40" s="13" t="s">
        <v>219</v>
      </c>
      <c r="E40" s="13">
        <v>35</v>
      </c>
    </row>
    <row r="41" spans="1:5" ht="15" customHeight="1" x14ac:dyDescent="0.35">
      <c r="A41" s="12">
        <v>3120607</v>
      </c>
      <c r="B41" s="12" t="s">
        <v>155</v>
      </c>
      <c r="C41" s="13" t="s">
        <v>95</v>
      </c>
      <c r="D41" s="13" t="s">
        <v>176</v>
      </c>
      <c r="E41" s="13">
        <v>25</v>
      </c>
    </row>
    <row r="42" spans="1:5" ht="15" customHeight="1" x14ac:dyDescent="0.35">
      <c r="A42" s="12">
        <v>3115706</v>
      </c>
      <c r="B42" s="12" t="s">
        <v>157</v>
      </c>
      <c r="C42" s="13" t="s">
        <v>95</v>
      </c>
      <c r="D42" s="13" t="s">
        <v>96</v>
      </c>
      <c r="E42" s="13">
        <v>94.5</v>
      </c>
    </row>
    <row r="44" spans="1:5" ht="15" customHeight="1" x14ac:dyDescent="0.35">
      <c r="B44" s="9" t="s">
        <v>220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5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328125" defaultRowHeight="14.5" x14ac:dyDescent="0.35"/>
  <cols>
    <col min="1" max="1" width="10" customWidth="1"/>
    <col min="2" max="2" width="22" customWidth="1"/>
    <col min="3" max="3" width="16" customWidth="1"/>
    <col min="4" max="4" width="14" customWidth="1"/>
    <col min="5" max="5" width="16" customWidth="1"/>
    <col min="6" max="6" width="18" customWidth="1"/>
    <col min="7" max="7" width="26" customWidth="1"/>
    <col min="8" max="8" width="14" customWidth="1"/>
    <col min="9" max="9" width="55" customWidth="1"/>
    <col min="10" max="10" width="45" customWidth="1"/>
  </cols>
  <sheetData>
    <row r="1" spans="1:10" ht="17.25" customHeight="1" x14ac:dyDescent="0.4">
      <c r="A1" s="6" t="s">
        <v>251</v>
      </c>
    </row>
    <row r="2" spans="1:10" ht="45.75" customHeight="1" x14ac:dyDescent="0.35">
      <c r="A2" s="11" t="s">
        <v>63</v>
      </c>
      <c r="B2" s="11" t="s">
        <v>64</v>
      </c>
      <c r="C2" s="11" t="s">
        <v>252</v>
      </c>
      <c r="D2" s="11" t="s">
        <v>253</v>
      </c>
      <c r="E2" s="11" t="s">
        <v>254</v>
      </c>
      <c r="F2" s="11" t="s">
        <v>255</v>
      </c>
      <c r="G2" s="11" t="s">
        <v>256</v>
      </c>
      <c r="H2" s="11" t="s">
        <v>257</v>
      </c>
      <c r="I2" s="11" t="s">
        <v>258</v>
      </c>
      <c r="J2" s="11" t="s">
        <v>259</v>
      </c>
    </row>
    <row r="3" spans="1:10" ht="57.75" customHeight="1" x14ac:dyDescent="0.35">
      <c r="A3" s="12">
        <v>3100302</v>
      </c>
      <c r="B3" s="12" t="s">
        <v>94</v>
      </c>
      <c r="C3" s="19" t="s">
        <v>260</v>
      </c>
      <c r="D3" s="19" t="s">
        <v>261</v>
      </c>
      <c r="E3" s="19" t="s">
        <v>262</v>
      </c>
      <c r="F3" s="19" t="s">
        <v>263</v>
      </c>
      <c r="G3" s="19" t="s">
        <v>264</v>
      </c>
      <c r="H3" s="19"/>
      <c r="I3" s="19"/>
      <c r="J3" s="19" t="s">
        <v>265</v>
      </c>
    </row>
    <row r="4" spans="1:10" ht="57.75" customHeight="1" x14ac:dyDescent="0.35">
      <c r="A4" s="12">
        <v>3100401</v>
      </c>
      <c r="B4" s="12" t="s">
        <v>97</v>
      </c>
      <c r="C4" s="19" t="s">
        <v>266</v>
      </c>
      <c r="D4" s="19" t="s">
        <v>261</v>
      </c>
      <c r="E4" s="19" t="s">
        <v>262</v>
      </c>
      <c r="F4" s="19" t="s">
        <v>263</v>
      </c>
      <c r="G4" s="19" t="s">
        <v>264</v>
      </c>
      <c r="H4" s="19"/>
      <c r="I4" s="19"/>
      <c r="J4" s="19" t="s">
        <v>265</v>
      </c>
    </row>
    <row r="5" spans="1:10" ht="57.75" customHeight="1" x14ac:dyDescent="0.35">
      <c r="A5" s="12">
        <v>3101102</v>
      </c>
      <c r="B5" s="12" t="s">
        <v>99</v>
      </c>
      <c r="C5" s="19" t="s">
        <v>267</v>
      </c>
      <c r="D5" s="19" t="s">
        <v>261</v>
      </c>
      <c r="E5" s="19" t="s">
        <v>262</v>
      </c>
      <c r="F5" s="19" t="s">
        <v>263</v>
      </c>
      <c r="G5" s="19" t="s">
        <v>264</v>
      </c>
      <c r="H5" s="19"/>
      <c r="I5" s="19"/>
      <c r="J5" s="19" t="s">
        <v>265</v>
      </c>
    </row>
    <row r="6" spans="1:10" ht="15" customHeight="1" x14ac:dyDescent="0.35">
      <c r="A6" s="12">
        <v>3108701</v>
      </c>
      <c r="B6" s="12" t="s">
        <v>100</v>
      </c>
      <c r="C6" s="19"/>
      <c r="D6" s="19"/>
      <c r="E6" s="19"/>
      <c r="F6" s="19"/>
      <c r="G6" s="19" t="s">
        <v>268</v>
      </c>
      <c r="H6" s="19"/>
      <c r="I6" s="19"/>
      <c r="J6" s="19"/>
    </row>
    <row r="7" spans="1:10" ht="57.75" customHeight="1" x14ac:dyDescent="0.35">
      <c r="A7" s="12">
        <v>3113107</v>
      </c>
      <c r="B7" s="12" t="s">
        <v>102</v>
      </c>
      <c r="C7" s="19" t="s">
        <v>269</v>
      </c>
      <c r="D7" s="19" t="s">
        <v>261</v>
      </c>
      <c r="E7" s="19" t="s">
        <v>262</v>
      </c>
      <c r="F7" s="19" t="s">
        <v>263</v>
      </c>
      <c r="G7" s="19" t="s">
        <v>270</v>
      </c>
      <c r="H7" s="19" t="s">
        <v>271</v>
      </c>
      <c r="I7" s="19" t="s">
        <v>272</v>
      </c>
      <c r="J7" s="19" t="s">
        <v>273</v>
      </c>
    </row>
    <row r="8" spans="1:10" ht="57.75" customHeight="1" x14ac:dyDescent="0.35">
      <c r="A8" s="12">
        <v>3113305</v>
      </c>
      <c r="B8" s="12" t="s">
        <v>104</v>
      </c>
      <c r="C8" s="19" t="s">
        <v>274</v>
      </c>
      <c r="D8" s="19" t="s">
        <v>261</v>
      </c>
      <c r="E8" s="19" t="s">
        <v>262</v>
      </c>
      <c r="F8" s="19" t="s">
        <v>263</v>
      </c>
      <c r="G8" s="19" t="s">
        <v>264</v>
      </c>
      <c r="H8" s="19"/>
      <c r="I8" s="19"/>
      <c r="J8" s="19" t="s">
        <v>265</v>
      </c>
    </row>
    <row r="9" spans="1:10" ht="57.75" customHeight="1" x14ac:dyDescent="0.35">
      <c r="A9" s="12">
        <v>3116001</v>
      </c>
      <c r="B9" s="12" t="s">
        <v>106</v>
      </c>
      <c r="C9" s="19" t="s">
        <v>275</v>
      </c>
      <c r="D9" s="19" t="s">
        <v>261</v>
      </c>
      <c r="E9" s="19" t="s">
        <v>262</v>
      </c>
      <c r="F9" s="19" t="s">
        <v>263</v>
      </c>
      <c r="G9" s="19" t="s">
        <v>264</v>
      </c>
      <c r="H9" s="19"/>
      <c r="I9" s="19"/>
      <c r="J9" s="19" t="s">
        <v>265</v>
      </c>
    </row>
    <row r="10" spans="1:10" ht="57.75" customHeight="1" x14ac:dyDescent="0.35">
      <c r="A10" s="12">
        <v>3118403</v>
      </c>
      <c r="B10" s="12" t="s">
        <v>108</v>
      </c>
      <c r="C10" s="19" t="s">
        <v>276</v>
      </c>
      <c r="D10" s="19" t="s">
        <v>261</v>
      </c>
      <c r="E10" s="19" t="s">
        <v>262</v>
      </c>
      <c r="F10" s="19" t="s">
        <v>263</v>
      </c>
      <c r="G10" s="19" t="s">
        <v>264</v>
      </c>
      <c r="H10" s="19"/>
      <c r="I10" s="19"/>
      <c r="J10" s="19" t="s">
        <v>265</v>
      </c>
    </row>
    <row r="11" spans="1:10" ht="57.75" customHeight="1" x14ac:dyDescent="0.35">
      <c r="A11" s="12">
        <v>3127701</v>
      </c>
      <c r="B11" s="12" t="s">
        <v>109</v>
      </c>
      <c r="C11" s="19" t="s">
        <v>277</v>
      </c>
      <c r="D11" s="19" t="s">
        <v>261</v>
      </c>
      <c r="E11" s="19" t="s">
        <v>262</v>
      </c>
      <c r="F11" s="19" t="s">
        <v>263</v>
      </c>
      <c r="G11" s="19" t="s">
        <v>264</v>
      </c>
      <c r="H11" s="19"/>
      <c r="I11" s="19"/>
      <c r="J11" s="19" t="s">
        <v>265</v>
      </c>
    </row>
    <row r="12" spans="1:10" ht="57.75" customHeight="1" x14ac:dyDescent="0.35">
      <c r="A12" s="12">
        <v>3128402</v>
      </c>
      <c r="B12" s="12" t="s">
        <v>111</v>
      </c>
      <c r="C12" s="19" t="s">
        <v>278</v>
      </c>
      <c r="D12" s="19" t="s">
        <v>261</v>
      </c>
      <c r="E12" s="19" t="s">
        <v>262</v>
      </c>
      <c r="F12" s="19" t="s">
        <v>263</v>
      </c>
      <c r="G12" s="19" t="s">
        <v>264</v>
      </c>
      <c r="H12" s="19"/>
      <c r="I12" s="19"/>
      <c r="J12" s="19" t="s">
        <v>265</v>
      </c>
    </row>
    <row r="13" spans="1:10" ht="57.75" customHeight="1" x14ac:dyDescent="0.35">
      <c r="A13" s="12">
        <v>3131208</v>
      </c>
      <c r="B13" s="12" t="s">
        <v>113</v>
      </c>
      <c r="C13" s="19" t="s">
        <v>279</v>
      </c>
      <c r="D13" s="19" t="s">
        <v>261</v>
      </c>
      <c r="E13" s="19" t="s">
        <v>262</v>
      </c>
      <c r="F13" s="19" t="s">
        <v>263</v>
      </c>
      <c r="G13" s="19" t="s">
        <v>264</v>
      </c>
      <c r="H13" s="19"/>
      <c r="I13" s="19"/>
      <c r="J13" s="19" t="s">
        <v>265</v>
      </c>
    </row>
    <row r="14" spans="1:10" ht="57.75" customHeight="1" x14ac:dyDescent="0.35">
      <c r="A14" s="12">
        <v>3132701</v>
      </c>
      <c r="B14" s="12" t="s">
        <v>114</v>
      </c>
      <c r="C14" s="19" t="s">
        <v>280</v>
      </c>
      <c r="D14" s="19" t="s">
        <v>261</v>
      </c>
      <c r="E14" s="19" t="s">
        <v>262</v>
      </c>
      <c r="F14" s="19" t="s">
        <v>263</v>
      </c>
      <c r="G14" s="19" t="s">
        <v>264</v>
      </c>
      <c r="H14" s="19"/>
      <c r="I14" s="19"/>
      <c r="J14" s="19" t="s">
        <v>265</v>
      </c>
    </row>
    <row r="15" spans="1:10" ht="57.75" customHeight="1" x14ac:dyDescent="0.35">
      <c r="A15" s="12">
        <v>3135076</v>
      </c>
      <c r="B15" s="12" t="s">
        <v>115</v>
      </c>
      <c r="C15" s="19" t="s">
        <v>281</v>
      </c>
      <c r="D15" s="19" t="s">
        <v>261</v>
      </c>
      <c r="E15" s="19" t="s">
        <v>262</v>
      </c>
      <c r="F15" s="19" t="s">
        <v>263</v>
      </c>
      <c r="G15" s="19" t="s">
        <v>264</v>
      </c>
      <c r="H15" s="19"/>
      <c r="I15" s="19"/>
      <c r="J15" s="19" t="s">
        <v>265</v>
      </c>
    </row>
    <row r="16" spans="1:10" ht="57.75" customHeight="1" x14ac:dyDescent="0.35">
      <c r="A16" s="12">
        <v>3135407</v>
      </c>
      <c r="B16" s="12" t="s">
        <v>117</v>
      </c>
      <c r="C16" s="19" t="s">
        <v>282</v>
      </c>
      <c r="D16" s="19" t="s">
        <v>261</v>
      </c>
      <c r="E16" s="19" t="s">
        <v>262</v>
      </c>
      <c r="F16" s="19" t="s">
        <v>263</v>
      </c>
      <c r="G16" s="19" t="s">
        <v>270</v>
      </c>
      <c r="H16" s="19" t="s">
        <v>283</v>
      </c>
      <c r="I16" s="19" t="s">
        <v>284</v>
      </c>
      <c r="J16" s="19" t="s">
        <v>285</v>
      </c>
    </row>
    <row r="17" spans="1:10" ht="57.75" customHeight="1" x14ac:dyDescent="0.35">
      <c r="A17" s="12">
        <v>3135506</v>
      </c>
      <c r="B17" s="12" t="s">
        <v>119</v>
      </c>
      <c r="C17" s="19" t="s">
        <v>286</v>
      </c>
      <c r="D17" s="19" t="s">
        <v>261</v>
      </c>
      <c r="E17" s="19" t="s">
        <v>262</v>
      </c>
      <c r="F17" s="19" t="s">
        <v>263</v>
      </c>
      <c r="G17" s="19" t="s">
        <v>264</v>
      </c>
      <c r="H17" s="19"/>
      <c r="I17" s="19"/>
      <c r="J17" s="19" t="s">
        <v>265</v>
      </c>
    </row>
    <row r="18" spans="1:10" ht="57.75" customHeight="1" x14ac:dyDescent="0.35">
      <c r="A18" s="12">
        <v>3137700</v>
      </c>
      <c r="B18" s="12" t="s">
        <v>121</v>
      </c>
      <c r="C18" s="19" t="s">
        <v>287</v>
      </c>
      <c r="D18" s="19" t="s">
        <v>261</v>
      </c>
      <c r="E18" s="19" t="s">
        <v>262</v>
      </c>
      <c r="F18" s="19" t="s">
        <v>263</v>
      </c>
      <c r="G18" s="19" t="s">
        <v>264</v>
      </c>
      <c r="H18" s="19"/>
      <c r="I18" s="19"/>
      <c r="J18" s="19" t="s">
        <v>265</v>
      </c>
    </row>
    <row r="19" spans="1:10" ht="57.75" customHeight="1" x14ac:dyDescent="0.35">
      <c r="A19" s="12">
        <v>3138609</v>
      </c>
      <c r="B19" s="12" t="s">
        <v>122</v>
      </c>
      <c r="C19" s="19" t="s">
        <v>288</v>
      </c>
      <c r="D19" s="19" t="s">
        <v>261</v>
      </c>
      <c r="E19" s="19" t="s">
        <v>262</v>
      </c>
      <c r="F19" s="19" t="s">
        <v>263</v>
      </c>
      <c r="G19" s="19" t="s">
        <v>270</v>
      </c>
      <c r="H19" s="19" t="s">
        <v>289</v>
      </c>
      <c r="I19" s="22" t="s">
        <v>290</v>
      </c>
      <c r="J19" s="22" t="s">
        <v>291</v>
      </c>
    </row>
    <row r="20" spans="1:10" ht="57.75" customHeight="1" x14ac:dyDescent="0.35">
      <c r="A20" s="12">
        <v>3139409</v>
      </c>
      <c r="B20" s="12" t="s">
        <v>123</v>
      </c>
      <c r="C20" s="19" t="s">
        <v>292</v>
      </c>
      <c r="D20" s="19" t="s">
        <v>261</v>
      </c>
      <c r="E20" s="19" t="s">
        <v>262</v>
      </c>
      <c r="F20" s="19" t="s">
        <v>263</v>
      </c>
      <c r="G20" s="19" t="s">
        <v>264</v>
      </c>
      <c r="H20" s="19"/>
      <c r="I20" s="19"/>
      <c r="J20" s="19" t="s">
        <v>265</v>
      </c>
    </row>
    <row r="21" spans="1:10" ht="57.75" customHeight="1" x14ac:dyDescent="0.35">
      <c r="A21" s="12">
        <v>3139508</v>
      </c>
      <c r="B21" s="12" t="s">
        <v>125</v>
      </c>
      <c r="C21" s="19" t="s">
        <v>293</v>
      </c>
      <c r="D21" s="19" t="s">
        <v>261</v>
      </c>
      <c r="E21" s="19" t="s">
        <v>262</v>
      </c>
      <c r="F21" s="19" t="s">
        <v>263</v>
      </c>
      <c r="G21" s="19" t="s">
        <v>264</v>
      </c>
      <c r="H21" s="19"/>
      <c r="I21" s="19"/>
      <c r="J21" s="19" t="s">
        <v>265</v>
      </c>
    </row>
    <row r="22" spans="1:10" ht="57.75" customHeight="1" x14ac:dyDescent="0.35">
      <c r="A22" s="12">
        <v>3139607</v>
      </c>
      <c r="B22" s="12" t="s">
        <v>126</v>
      </c>
      <c r="C22" s="19" t="s">
        <v>294</v>
      </c>
      <c r="D22" s="19" t="s">
        <v>261</v>
      </c>
      <c r="E22" s="19" t="s">
        <v>262</v>
      </c>
      <c r="F22" s="19" t="s">
        <v>263</v>
      </c>
      <c r="G22" s="19" t="s">
        <v>264</v>
      </c>
      <c r="H22" s="19"/>
      <c r="I22" s="19"/>
      <c r="J22" s="19" t="s">
        <v>265</v>
      </c>
    </row>
    <row r="23" spans="1:10" ht="57.75" customHeight="1" x14ac:dyDescent="0.35">
      <c r="A23" s="12">
        <v>3140001</v>
      </c>
      <c r="B23" s="12" t="s">
        <v>127</v>
      </c>
      <c r="C23" s="19" t="s">
        <v>295</v>
      </c>
      <c r="D23" s="19" t="s">
        <v>261</v>
      </c>
      <c r="E23" s="19" t="s">
        <v>262</v>
      </c>
      <c r="F23" s="19" t="s">
        <v>263</v>
      </c>
      <c r="G23" s="19" t="s">
        <v>264</v>
      </c>
      <c r="H23" s="19"/>
      <c r="I23" s="19"/>
      <c r="J23" s="19" t="s">
        <v>265</v>
      </c>
    </row>
    <row r="24" spans="1:10" ht="57.75" customHeight="1" x14ac:dyDescent="0.35">
      <c r="A24" s="12">
        <v>3143906</v>
      </c>
      <c r="B24" s="12" t="s">
        <v>129</v>
      </c>
      <c r="C24" s="19" t="s">
        <v>296</v>
      </c>
      <c r="D24" s="19" t="s">
        <v>261</v>
      </c>
      <c r="E24" s="19" t="s">
        <v>262</v>
      </c>
      <c r="F24" s="19" t="s">
        <v>263</v>
      </c>
      <c r="G24" s="19" t="s">
        <v>270</v>
      </c>
      <c r="H24" s="19" t="s">
        <v>297</v>
      </c>
      <c r="I24" s="19" t="s">
        <v>298</v>
      </c>
      <c r="J24" s="19" t="s">
        <v>299</v>
      </c>
    </row>
    <row r="25" spans="1:10" ht="57.75" customHeight="1" x14ac:dyDescent="0.35">
      <c r="A25" s="12">
        <v>3145851</v>
      </c>
      <c r="B25" s="12" t="s">
        <v>131</v>
      </c>
      <c r="C25" s="19" t="s">
        <v>300</v>
      </c>
      <c r="D25" s="19" t="s">
        <v>261</v>
      </c>
      <c r="E25" s="19" t="s">
        <v>262</v>
      </c>
      <c r="F25" s="19" t="s">
        <v>263</v>
      </c>
      <c r="G25" s="19" t="s">
        <v>264</v>
      </c>
      <c r="H25" s="19"/>
      <c r="I25" s="19"/>
      <c r="J25" s="19" t="s">
        <v>265</v>
      </c>
    </row>
    <row r="26" spans="1:10" ht="57.75" customHeight="1" x14ac:dyDescent="0.35">
      <c r="A26" s="12">
        <v>3150604</v>
      </c>
      <c r="B26" s="12" t="s">
        <v>132</v>
      </c>
      <c r="C26" s="19" t="s">
        <v>301</v>
      </c>
      <c r="D26" s="19" t="s">
        <v>261</v>
      </c>
      <c r="E26" s="19" t="s">
        <v>262</v>
      </c>
      <c r="F26" s="19" t="s">
        <v>263</v>
      </c>
      <c r="G26" s="19" t="s">
        <v>264</v>
      </c>
      <c r="H26" s="19"/>
      <c r="I26" s="19"/>
      <c r="J26" s="19" t="s">
        <v>265</v>
      </c>
    </row>
    <row r="27" spans="1:10" ht="57.75" customHeight="1" x14ac:dyDescent="0.35">
      <c r="A27" s="12">
        <v>3151909</v>
      </c>
      <c r="B27" s="12" t="s">
        <v>134</v>
      </c>
      <c r="C27" s="19" t="s">
        <v>302</v>
      </c>
      <c r="D27" s="19" t="s">
        <v>261</v>
      </c>
      <c r="E27" s="19" t="s">
        <v>262</v>
      </c>
      <c r="F27" s="19" t="s">
        <v>263</v>
      </c>
      <c r="G27" s="19" t="s">
        <v>264</v>
      </c>
      <c r="H27" s="19"/>
      <c r="I27" s="19"/>
      <c r="J27" s="19" t="s">
        <v>265</v>
      </c>
    </row>
    <row r="28" spans="1:10" ht="57.75" customHeight="1" x14ac:dyDescent="0.35">
      <c r="A28" s="12">
        <v>3152105</v>
      </c>
      <c r="B28" s="12" t="s">
        <v>135</v>
      </c>
      <c r="C28" s="19" t="s">
        <v>303</v>
      </c>
      <c r="D28" s="19" t="s">
        <v>261</v>
      </c>
      <c r="E28" s="19" t="s">
        <v>262</v>
      </c>
      <c r="F28" s="19" t="s">
        <v>263</v>
      </c>
      <c r="G28" s="19" t="s">
        <v>264</v>
      </c>
      <c r="H28" s="19"/>
      <c r="I28" s="19"/>
      <c r="J28" s="19" t="s">
        <v>265</v>
      </c>
    </row>
    <row r="29" spans="1:10" ht="57.75" customHeight="1" x14ac:dyDescent="0.35">
      <c r="A29" s="12">
        <v>3154002</v>
      </c>
      <c r="B29" s="12" t="s">
        <v>137</v>
      </c>
      <c r="C29" s="19" t="s">
        <v>304</v>
      </c>
      <c r="D29" s="19" t="s">
        <v>261</v>
      </c>
      <c r="E29" s="19" t="s">
        <v>262</v>
      </c>
      <c r="F29" s="19" t="s">
        <v>263</v>
      </c>
      <c r="G29" s="19" t="s">
        <v>270</v>
      </c>
      <c r="H29" s="19" t="s">
        <v>305</v>
      </c>
      <c r="I29" s="19" t="s">
        <v>306</v>
      </c>
      <c r="J29" s="19" t="s">
        <v>307</v>
      </c>
    </row>
    <row r="30" spans="1:10" ht="57.75" customHeight="1" x14ac:dyDescent="0.35">
      <c r="A30" s="12">
        <v>3154101</v>
      </c>
      <c r="B30" s="12" t="s">
        <v>138</v>
      </c>
      <c r="C30" s="19" t="s">
        <v>308</v>
      </c>
      <c r="D30" s="19" t="s">
        <v>261</v>
      </c>
      <c r="E30" s="19" t="s">
        <v>262</v>
      </c>
      <c r="F30" s="19" t="s">
        <v>263</v>
      </c>
      <c r="G30" s="19" t="s">
        <v>264</v>
      </c>
      <c r="H30" s="19"/>
      <c r="I30" s="19"/>
      <c r="J30" s="19" t="s">
        <v>265</v>
      </c>
    </row>
    <row r="31" spans="1:10" ht="57.75" customHeight="1" x14ac:dyDescent="0.35">
      <c r="A31" s="12">
        <v>3154150</v>
      </c>
      <c r="B31" s="12" t="s">
        <v>139</v>
      </c>
      <c r="C31" s="19" t="s">
        <v>309</v>
      </c>
      <c r="D31" s="19" t="s">
        <v>261</v>
      </c>
      <c r="E31" s="19" t="s">
        <v>262</v>
      </c>
      <c r="F31" s="19" t="s">
        <v>263</v>
      </c>
      <c r="G31" s="19" t="s">
        <v>264</v>
      </c>
      <c r="H31" s="19"/>
      <c r="I31" s="19"/>
      <c r="J31" s="19" t="s">
        <v>265</v>
      </c>
    </row>
    <row r="32" spans="1:10" ht="57.75" customHeight="1" x14ac:dyDescent="0.35">
      <c r="A32" s="12">
        <v>3165701</v>
      </c>
      <c r="B32" s="12" t="s">
        <v>141</v>
      </c>
      <c r="C32" s="19" t="s">
        <v>310</v>
      </c>
      <c r="D32" s="19" t="s">
        <v>261</v>
      </c>
      <c r="E32" s="19" t="s">
        <v>262</v>
      </c>
      <c r="F32" s="19" t="s">
        <v>263</v>
      </c>
      <c r="G32" s="19" t="s">
        <v>264</v>
      </c>
      <c r="H32" s="19"/>
      <c r="I32" s="19"/>
      <c r="J32" s="19" t="s">
        <v>265</v>
      </c>
    </row>
    <row r="33" spans="1:10" ht="57.75" customHeight="1" x14ac:dyDescent="0.35">
      <c r="A33" s="12">
        <v>3161403</v>
      </c>
      <c r="B33" s="12" t="s">
        <v>142</v>
      </c>
      <c r="C33" s="19" t="s">
        <v>311</v>
      </c>
      <c r="D33" s="19" t="s">
        <v>261</v>
      </c>
      <c r="E33" s="19" t="s">
        <v>262</v>
      </c>
      <c r="F33" s="19" t="s">
        <v>263</v>
      </c>
      <c r="G33" s="19" t="s">
        <v>264</v>
      </c>
      <c r="H33" s="19"/>
      <c r="I33" s="19"/>
      <c r="J33" s="19" t="s">
        <v>265</v>
      </c>
    </row>
    <row r="34" spans="1:10" ht="57.75" customHeight="1" x14ac:dyDescent="0.35">
      <c r="A34" s="12">
        <v>3168051</v>
      </c>
      <c r="B34" s="12" t="s">
        <v>144</v>
      </c>
      <c r="C34" s="19" t="s">
        <v>312</v>
      </c>
      <c r="D34" s="19" t="s">
        <v>261</v>
      </c>
      <c r="E34" s="19" t="s">
        <v>262</v>
      </c>
      <c r="F34" s="19" t="s">
        <v>263</v>
      </c>
      <c r="G34" s="19" t="s">
        <v>270</v>
      </c>
      <c r="H34" s="19" t="s">
        <v>313</v>
      </c>
      <c r="I34" s="19" t="s">
        <v>314</v>
      </c>
      <c r="J34" s="19" t="s">
        <v>315</v>
      </c>
    </row>
    <row r="35" spans="1:10" ht="57.75" customHeight="1" x14ac:dyDescent="0.35">
      <c r="A35" s="12">
        <v>3169000</v>
      </c>
      <c r="B35" s="12" t="s">
        <v>146</v>
      </c>
      <c r="C35" s="19" t="s">
        <v>316</v>
      </c>
      <c r="D35" s="19" t="s">
        <v>261</v>
      </c>
      <c r="E35" s="19" t="s">
        <v>262</v>
      </c>
      <c r="F35" s="19" t="s">
        <v>263</v>
      </c>
      <c r="G35" s="19" t="s">
        <v>264</v>
      </c>
      <c r="H35" s="19"/>
      <c r="I35" s="19"/>
      <c r="J35" s="19" t="s">
        <v>265</v>
      </c>
    </row>
    <row r="36" spans="1:10" ht="57.75" customHeight="1" x14ac:dyDescent="0.35">
      <c r="A36" s="12">
        <v>3169208</v>
      </c>
      <c r="B36" s="12" t="s">
        <v>148</v>
      </c>
      <c r="C36" s="19" t="s">
        <v>317</v>
      </c>
      <c r="D36" s="19" t="s">
        <v>261</v>
      </c>
      <c r="E36" s="19" t="s">
        <v>262</v>
      </c>
      <c r="F36" s="19" t="s">
        <v>263</v>
      </c>
      <c r="G36" s="19" t="s">
        <v>264</v>
      </c>
      <c r="H36" s="19"/>
      <c r="I36" s="19"/>
      <c r="J36" s="19" t="s">
        <v>265</v>
      </c>
    </row>
    <row r="37" spans="1:10" ht="57.75" customHeight="1" x14ac:dyDescent="0.35">
      <c r="A37" s="12">
        <v>3171154</v>
      </c>
      <c r="B37" s="12" t="s">
        <v>149</v>
      </c>
      <c r="C37" s="19" t="s">
        <v>318</v>
      </c>
      <c r="D37" s="19" t="s">
        <v>261</v>
      </c>
      <c r="E37" s="19" t="s">
        <v>262</v>
      </c>
      <c r="F37" s="19" t="s">
        <v>263</v>
      </c>
      <c r="G37" s="19" t="s">
        <v>264</v>
      </c>
      <c r="H37" s="19"/>
      <c r="I37" s="19"/>
      <c r="J37" s="19" t="s">
        <v>265</v>
      </c>
    </row>
    <row r="38" spans="1:10" ht="57.75" customHeight="1" x14ac:dyDescent="0.35">
      <c r="A38" s="12">
        <v>3171303</v>
      </c>
      <c r="B38" s="12" t="s">
        <v>150</v>
      </c>
      <c r="C38" s="19" t="s">
        <v>319</v>
      </c>
      <c r="D38" s="19" t="s">
        <v>261</v>
      </c>
      <c r="E38" s="19" t="s">
        <v>262</v>
      </c>
      <c r="F38" s="19" t="s">
        <v>263</v>
      </c>
      <c r="G38" s="19" t="s">
        <v>320</v>
      </c>
      <c r="H38" s="19" t="s">
        <v>321</v>
      </c>
      <c r="I38" s="19" t="s">
        <v>322</v>
      </c>
      <c r="J38" s="19" t="s">
        <v>323</v>
      </c>
    </row>
    <row r="39" spans="1:10" ht="57.75" customHeight="1" x14ac:dyDescent="0.35">
      <c r="A39" s="12">
        <v>3167202</v>
      </c>
      <c r="B39" s="12" t="s">
        <v>151</v>
      </c>
      <c r="C39" s="19" t="s">
        <v>324</v>
      </c>
      <c r="D39" s="19" t="s">
        <v>261</v>
      </c>
      <c r="E39" s="19" t="s">
        <v>262</v>
      </c>
      <c r="F39" s="19" t="s">
        <v>263</v>
      </c>
      <c r="G39" s="19" t="s">
        <v>270</v>
      </c>
      <c r="H39" s="19" t="s">
        <v>325</v>
      </c>
      <c r="I39" s="19" t="s">
        <v>326</v>
      </c>
      <c r="J39" s="19" t="s">
        <v>327</v>
      </c>
    </row>
    <row r="40" spans="1:10" ht="57.75" customHeight="1" x14ac:dyDescent="0.35">
      <c r="A40" s="12">
        <v>3146305</v>
      </c>
      <c r="B40" s="12" t="s">
        <v>153</v>
      </c>
      <c r="C40" s="19" t="s">
        <v>328</v>
      </c>
      <c r="D40" s="19" t="s">
        <v>261</v>
      </c>
      <c r="E40" s="19" t="s">
        <v>262</v>
      </c>
      <c r="F40" s="19" t="s">
        <v>263</v>
      </c>
      <c r="G40" s="19" t="s">
        <v>264</v>
      </c>
      <c r="H40" s="19"/>
      <c r="I40" s="19"/>
      <c r="J40" s="19" t="s">
        <v>265</v>
      </c>
    </row>
    <row r="41" spans="1:10" ht="57.75" customHeight="1" x14ac:dyDescent="0.35">
      <c r="A41" s="12">
        <v>3120607</v>
      </c>
      <c r="B41" s="12" t="s">
        <v>155</v>
      </c>
      <c r="C41" s="19" t="s">
        <v>329</v>
      </c>
      <c r="D41" s="19" t="s">
        <v>261</v>
      </c>
      <c r="E41" s="19" t="s">
        <v>262</v>
      </c>
      <c r="F41" s="19" t="s">
        <v>263</v>
      </c>
      <c r="G41" s="19" t="s">
        <v>264</v>
      </c>
      <c r="H41" s="19"/>
      <c r="I41" s="19"/>
      <c r="J41" s="19" t="s">
        <v>265</v>
      </c>
    </row>
    <row r="42" spans="1:10" ht="57.75" customHeight="1" x14ac:dyDescent="0.35">
      <c r="A42" s="12">
        <v>3115706</v>
      </c>
      <c r="B42" s="12" t="s">
        <v>157</v>
      </c>
      <c r="C42" s="19" t="s">
        <v>330</v>
      </c>
      <c r="D42" s="19" t="s">
        <v>261</v>
      </c>
      <c r="E42" s="19" t="s">
        <v>262</v>
      </c>
      <c r="F42" s="19" t="s">
        <v>263</v>
      </c>
      <c r="G42" s="19" t="s">
        <v>264</v>
      </c>
      <c r="H42" s="19"/>
      <c r="I42" s="19"/>
      <c r="J42" s="19" t="s">
        <v>265</v>
      </c>
    </row>
    <row r="44" spans="1:10" ht="15" customHeight="1" x14ac:dyDescent="0.35">
      <c r="B44" s="9" t="s">
        <v>331</v>
      </c>
    </row>
    <row r="45" spans="1:10" ht="15" customHeight="1" x14ac:dyDescent="0.35">
      <c r="B45" s="23" t="s">
        <v>332</v>
      </c>
    </row>
  </sheetData>
  <dataValidations count="1">
    <dataValidation type="list" allowBlank="1" sqref="G3:G42" xr:uid="{00000000-0002-0000-0900-000000000000}">
      <formula1>"Não enviado/não localizado,Enviado – prazo em curso,Enviado – sem resposta,Respondeu – sem dados,Respondeu – parcialmente,Respondeu – integralmente"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4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ColWidth="8.6328125" defaultRowHeight="14.5" x14ac:dyDescent="0.35"/>
  <cols>
    <col min="1" max="1" width="14" customWidth="1"/>
    <col min="2" max="2" width="22" customWidth="1"/>
    <col min="3" max="12" width="20" customWidth="1"/>
  </cols>
  <sheetData>
    <row r="1" spans="1:12" ht="17.25" customHeight="1" x14ac:dyDescent="0.4">
      <c r="A1" s="6" t="s">
        <v>414</v>
      </c>
    </row>
    <row r="2" spans="1:12" ht="45.75" customHeight="1" x14ac:dyDescent="0.35">
      <c r="A2" s="11" t="s">
        <v>415</v>
      </c>
      <c r="B2" s="11" t="s">
        <v>416</v>
      </c>
      <c r="C2" s="11" t="s">
        <v>417</v>
      </c>
      <c r="D2" s="11" t="s">
        <v>418</v>
      </c>
      <c r="E2" s="11" t="s">
        <v>419</v>
      </c>
      <c r="F2" s="11" t="s">
        <v>420</v>
      </c>
      <c r="G2" s="11" t="s">
        <v>421</v>
      </c>
      <c r="H2" s="11" t="s">
        <v>422</v>
      </c>
      <c r="I2" s="11" t="s">
        <v>423</v>
      </c>
      <c r="J2" s="11" t="s">
        <v>424</v>
      </c>
      <c r="K2" s="11" t="s">
        <v>425</v>
      </c>
      <c r="L2" s="11" t="s">
        <v>426</v>
      </c>
    </row>
    <row r="3" spans="1:12" ht="15" customHeight="1" x14ac:dyDescent="0.35">
      <c r="A3" s="12">
        <v>3100302</v>
      </c>
      <c r="B3" s="12" t="s">
        <v>94</v>
      </c>
      <c r="C3" s="13" t="str">
        <f>IF(Base_SINISA_Agua!A3=$A3,"OK","DIVERGENTE — verificar linha "&amp;3)</f>
        <v>OK</v>
      </c>
      <c r="D3" s="13" t="str">
        <f>IF(Base_SINISA_Esgoto!A3=$A3,"OK","DIVERGENTE — verificar linha "&amp;3)</f>
        <v>OK</v>
      </c>
      <c r="E3" s="13" t="str">
        <f>IF(Base_Denominadores!A3=$A3,"OK","DIVERGENTE — verificar linha "&amp;3)</f>
        <v>OK</v>
      </c>
      <c r="F3" s="13" t="str">
        <f>IF(Sol_Alternativas!A3=$A3,"OK","DIVERGENTE — verificar linha "&amp;3)</f>
        <v>OK</v>
      </c>
      <c r="G3" s="13" t="str">
        <f>IF(Base_SINISA_2023!A3=$A3,"OK","DIVERGENTE — verificar linha "&amp;3)</f>
        <v>OK</v>
      </c>
      <c r="H3" s="13" t="str">
        <f>IF(Base_SINISA_Esgoto_2023!A3=$A3,"OK","DIVERGENTE — verificar linha "&amp;3)</f>
        <v>OK</v>
      </c>
      <c r="I3" s="13" t="str">
        <f>IF(Controle_Oficios!A3=$A3,"OK","DIVERGENTE — verificar linha "&amp;3)</f>
        <v>OK</v>
      </c>
      <c r="J3" s="13" t="str">
        <f>IF('Memoria de calculo - NR9'!A3=$A3,"OK","DIVERGENTE — verificar linha "&amp;3)</f>
        <v>OK</v>
      </c>
      <c r="K3" s="13" t="str">
        <f>IF(Resultados!A3=$A3,"OK","DIVERGENTE — verificar linha "&amp;3)</f>
        <v>OK</v>
      </c>
      <c r="L3" s="13" t="str">
        <f>IF(Diagnostico!A3=$A3,"OK","DIVERGENTE — verificar linha "&amp;3)</f>
        <v>OK</v>
      </c>
    </row>
    <row r="4" spans="1:12" ht="15" customHeight="1" x14ac:dyDescent="0.35">
      <c r="A4" s="12">
        <v>3100401</v>
      </c>
      <c r="B4" s="12" t="s">
        <v>97</v>
      </c>
      <c r="C4" s="13" t="str">
        <f>IF(Base_SINISA_Agua!A4=$A4,"OK","DIVERGENTE — verificar linha "&amp;4)</f>
        <v>OK</v>
      </c>
      <c r="D4" s="13" t="str">
        <f>IF(Base_SINISA_Esgoto!A4=$A4,"OK","DIVERGENTE — verificar linha "&amp;4)</f>
        <v>OK</v>
      </c>
      <c r="E4" s="13" t="str">
        <f>IF(Base_Denominadores!A4=$A4,"OK","DIVERGENTE — verificar linha "&amp;4)</f>
        <v>OK</v>
      </c>
      <c r="F4" s="13" t="str">
        <f>IF(Sol_Alternativas!A4=$A4,"OK","DIVERGENTE — verificar linha "&amp;4)</f>
        <v>OK</v>
      </c>
      <c r="G4" s="13" t="str">
        <f>IF(Base_SINISA_2023!A4=$A4,"OK","DIVERGENTE — verificar linha "&amp;4)</f>
        <v>OK</v>
      </c>
      <c r="H4" s="13" t="str">
        <f>IF(Base_SINISA_Esgoto_2023!A4=$A4,"OK","DIVERGENTE — verificar linha "&amp;4)</f>
        <v>OK</v>
      </c>
      <c r="I4" s="13" t="str">
        <f>IF(Controle_Oficios!A4=$A4,"OK","DIVERGENTE — verificar linha "&amp;4)</f>
        <v>OK</v>
      </c>
      <c r="J4" s="13" t="str">
        <f>IF('Memoria de calculo - NR9'!A4=$A4,"OK","DIVERGENTE — verificar linha "&amp;4)</f>
        <v>OK</v>
      </c>
      <c r="K4" s="13" t="str">
        <f>IF(Resultados!A4=$A4,"OK","DIVERGENTE — verificar linha "&amp;4)</f>
        <v>OK</v>
      </c>
      <c r="L4" s="13" t="str">
        <f>IF(Diagnostico!A4=$A4,"OK","DIVERGENTE — verificar linha "&amp;4)</f>
        <v>OK</v>
      </c>
    </row>
    <row r="5" spans="1:12" ht="15" customHeight="1" x14ac:dyDescent="0.35">
      <c r="A5" s="12">
        <v>3101102</v>
      </c>
      <c r="B5" s="12" t="s">
        <v>99</v>
      </c>
      <c r="C5" s="13" t="str">
        <f>IF(Base_SINISA_Agua!A5=$A5,"OK","DIVERGENTE — verificar linha "&amp;5)</f>
        <v>OK</v>
      </c>
      <c r="D5" s="13" t="str">
        <f>IF(Base_SINISA_Esgoto!A5=$A5,"OK","DIVERGENTE — verificar linha "&amp;5)</f>
        <v>OK</v>
      </c>
      <c r="E5" s="13" t="str">
        <f>IF(Base_Denominadores!A5=$A5,"OK","DIVERGENTE — verificar linha "&amp;5)</f>
        <v>OK</v>
      </c>
      <c r="F5" s="13" t="str">
        <f>IF(Sol_Alternativas!A5=$A5,"OK","DIVERGENTE — verificar linha "&amp;5)</f>
        <v>OK</v>
      </c>
      <c r="G5" s="13" t="str">
        <f>IF(Base_SINISA_2023!A5=$A5,"OK","DIVERGENTE — verificar linha "&amp;5)</f>
        <v>OK</v>
      </c>
      <c r="H5" s="13" t="str">
        <f>IF(Base_SINISA_Esgoto_2023!A5=$A5,"OK","DIVERGENTE — verificar linha "&amp;5)</f>
        <v>OK</v>
      </c>
      <c r="I5" s="13" t="str">
        <f>IF(Controle_Oficios!A5=$A5,"OK","DIVERGENTE — verificar linha "&amp;5)</f>
        <v>OK</v>
      </c>
      <c r="J5" s="13" t="str">
        <f>IF('Memoria de calculo - NR9'!A5=$A5,"OK","DIVERGENTE — verificar linha "&amp;5)</f>
        <v>OK</v>
      </c>
      <c r="K5" s="13" t="str">
        <f>IF(Resultados!A5=$A5,"OK","DIVERGENTE — verificar linha "&amp;5)</f>
        <v>OK</v>
      </c>
      <c r="L5" s="13" t="str">
        <f>IF(Diagnostico!A5=$A5,"OK","DIVERGENTE — verificar linha "&amp;5)</f>
        <v>OK</v>
      </c>
    </row>
    <row r="6" spans="1:12" ht="15" customHeight="1" x14ac:dyDescent="0.35">
      <c r="A6" s="12">
        <v>3108701</v>
      </c>
      <c r="B6" s="12" t="s">
        <v>100</v>
      </c>
      <c r="C6" s="13" t="str">
        <f>IF(Base_SINISA_Agua!A6=$A6,"OK","DIVERGENTE — verificar linha "&amp;6)</f>
        <v>OK</v>
      </c>
      <c r="D6" s="13" t="str">
        <f>IF(Base_SINISA_Esgoto!A6=$A6,"OK","DIVERGENTE — verificar linha "&amp;6)</f>
        <v>OK</v>
      </c>
      <c r="E6" s="13" t="str">
        <f>IF(Base_Denominadores!A6=$A6,"OK","DIVERGENTE — verificar linha "&amp;6)</f>
        <v>OK</v>
      </c>
      <c r="F6" s="13" t="str">
        <f>IF(Sol_Alternativas!A6=$A6,"OK","DIVERGENTE — verificar linha "&amp;6)</f>
        <v>OK</v>
      </c>
      <c r="G6" s="13" t="str">
        <f>IF(Base_SINISA_2023!A6=$A6,"OK","DIVERGENTE — verificar linha "&amp;6)</f>
        <v>OK</v>
      </c>
      <c r="H6" s="13" t="str">
        <f>IF(Base_SINISA_Esgoto_2023!A6=$A6,"OK","DIVERGENTE — verificar linha "&amp;6)</f>
        <v>OK</v>
      </c>
      <c r="I6" s="13" t="str">
        <f>IF(Controle_Oficios!A6=$A6,"OK","DIVERGENTE — verificar linha "&amp;6)</f>
        <v>OK</v>
      </c>
      <c r="J6" s="13" t="str">
        <f>IF('Memoria de calculo - NR9'!A6=$A6,"OK","DIVERGENTE — verificar linha "&amp;6)</f>
        <v>OK</v>
      </c>
      <c r="K6" s="13" t="str">
        <f>IF(Resultados!A6=$A6,"OK","DIVERGENTE — verificar linha "&amp;6)</f>
        <v>OK</v>
      </c>
      <c r="L6" s="13" t="str">
        <f>IF(Diagnostico!A6=$A6,"OK","DIVERGENTE — verificar linha "&amp;6)</f>
        <v>OK</v>
      </c>
    </row>
    <row r="7" spans="1:12" ht="15" customHeight="1" x14ac:dyDescent="0.35">
      <c r="A7" s="12">
        <v>3113107</v>
      </c>
      <c r="B7" s="12" t="s">
        <v>102</v>
      </c>
      <c r="C7" s="13" t="str">
        <f>IF(Base_SINISA_Agua!A7=$A7,"OK","DIVERGENTE — verificar linha "&amp;7)</f>
        <v>OK</v>
      </c>
      <c r="D7" s="13" t="str">
        <f>IF(Base_SINISA_Esgoto!A7=$A7,"OK","DIVERGENTE — verificar linha "&amp;7)</f>
        <v>OK</v>
      </c>
      <c r="E7" s="13" t="str">
        <f>IF(Base_Denominadores!A7=$A7,"OK","DIVERGENTE — verificar linha "&amp;7)</f>
        <v>OK</v>
      </c>
      <c r="F7" s="13" t="str">
        <f>IF(Sol_Alternativas!A7=$A7,"OK","DIVERGENTE — verificar linha "&amp;7)</f>
        <v>OK</v>
      </c>
      <c r="G7" s="13" t="str">
        <f>IF(Base_SINISA_2023!A7=$A7,"OK","DIVERGENTE — verificar linha "&amp;7)</f>
        <v>OK</v>
      </c>
      <c r="H7" s="13" t="str">
        <f>IF(Base_SINISA_Esgoto_2023!A7=$A7,"OK","DIVERGENTE — verificar linha "&amp;7)</f>
        <v>OK</v>
      </c>
      <c r="I7" s="13" t="str">
        <f>IF(Controle_Oficios!A7=$A7,"OK","DIVERGENTE — verificar linha "&amp;7)</f>
        <v>OK</v>
      </c>
      <c r="J7" s="13" t="str">
        <f>IF('Memoria de calculo - NR9'!A7=$A7,"OK","DIVERGENTE — verificar linha "&amp;7)</f>
        <v>OK</v>
      </c>
      <c r="K7" s="13" t="str">
        <f>IF(Resultados!A7=$A7,"OK","DIVERGENTE — verificar linha "&amp;7)</f>
        <v>OK</v>
      </c>
      <c r="L7" s="13" t="str">
        <f>IF(Diagnostico!A7=$A7,"OK","DIVERGENTE — verificar linha "&amp;7)</f>
        <v>OK</v>
      </c>
    </row>
    <row r="8" spans="1:12" ht="15" customHeight="1" x14ac:dyDescent="0.35">
      <c r="A8" s="12">
        <v>3113305</v>
      </c>
      <c r="B8" s="12" t="s">
        <v>104</v>
      </c>
      <c r="C8" s="13" t="str">
        <f>IF(Base_SINISA_Agua!A8=$A8,"OK","DIVERGENTE — verificar linha "&amp;8)</f>
        <v>OK</v>
      </c>
      <c r="D8" s="13" t="str">
        <f>IF(Base_SINISA_Esgoto!A8=$A8,"OK","DIVERGENTE — verificar linha "&amp;8)</f>
        <v>OK</v>
      </c>
      <c r="E8" s="13" t="str">
        <f>IF(Base_Denominadores!A8=$A8,"OK","DIVERGENTE — verificar linha "&amp;8)</f>
        <v>OK</v>
      </c>
      <c r="F8" s="13" t="str">
        <f>IF(Sol_Alternativas!A8=$A8,"OK","DIVERGENTE — verificar linha "&amp;8)</f>
        <v>OK</v>
      </c>
      <c r="G8" s="13" t="str">
        <f>IF(Base_SINISA_2023!A8=$A8,"OK","DIVERGENTE — verificar linha "&amp;8)</f>
        <v>OK</v>
      </c>
      <c r="H8" s="13" t="str">
        <f>IF(Base_SINISA_Esgoto_2023!A8=$A8,"OK","DIVERGENTE — verificar linha "&amp;8)</f>
        <v>OK</v>
      </c>
      <c r="I8" s="13" t="str">
        <f>IF(Controle_Oficios!A8=$A8,"OK","DIVERGENTE — verificar linha "&amp;8)</f>
        <v>OK</v>
      </c>
      <c r="J8" s="13" t="str">
        <f>IF('Memoria de calculo - NR9'!A8=$A8,"OK","DIVERGENTE — verificar linha "&amp;8)</f>
        <v>OK</v>
      </c>
      <c r="K8" s="13" t="str">
        <f>IF(Resultados!A8=$A8,"OK","DIVERGENTE — verificar linha "&amp;8)</f>
        <v>OK</v>
      </c>
      <c r="L8" s="13" t="str">
        <f>IF(Diagnostico!A8=$A8,"OK","DIVERGENTE — verificar linha "&amp;8)</f>
        <v>OK</v>
      </c>
    </row>
    <row r="9" spans="1:12" ht="15" customHeight="1" x14ac:dyDescent="0.35">
      <c r="A9" s="12">
        <v>3116001</v>
      </c>
      <c r="B9" s="12" t="s">
        <v>106</v>
      </c>
      <c r="C9" s="13" t="str">
        <f>IF(Base_SINISA_Agua!A9=$A9,"OK","DIVERGENTE — verificar linha "&amp;9)</f>
        <v>OK</v>
      </c>
      <c r="D9" s="13" t="str">
        <f>IF(Base_SINISA_Esgoto!A9=$A9,"OK","DIVERGENTE — verificar linha "&amp;9)</f>
        <v>OK</v>
      </c>
      <c r="E9" s="13" t="str">
        <f>IF(Base_Denominadores!A9=$A9,"OK","DIVERGENTE — verificar linha "&amp;9)</f>
        <v>OK</v>
      </c>
      <c r="F9" s="13" t="str">
        <f>IF(Sol_Alternativas!A9=$A9,"OK","DIVERGENTE — verificar linha "&amp;9)</f>
        <v>OK</v>
      </c>
      <c r="G9" s="13" t="str">
        <f>IF(Base_SINISA_2023!A9=$A9,"OK","DIVERGENTE — verificar linha "&amp;9)</f>
        <v>OK</v>
      </c>
      <c r="H9" s="13" t="str">
        <f>IF(Base_SINISA_Esgoto_2023!A9=$A9,"OK","DIVERGENTE — verificar linha "&amp;9)</f>
        <v>OK</v>
      </c>
      <c r="I9" s="13" t="str">
        <f>IF(Controle_Oficios!A9=$A9,"OK","DIVERGENTE — verificar linha "&amp;9)</f>
        <v>OK</v>
      </c>
      <c r="J9" s="13" t="str">
        <f>IF('Memoria de calculo - NR9'!A9=$A9,"OK","DIVERGENTE — verificar linha "&amp;9)</f>
        <v>OK</v>
      </c>
      <c r="K9" s="13" t="str">
        <f>IF(Resultados!A9=$A9,"OK","DIVERGENTE — verificar linha "&amp;9)</f>
        <v>OK</v>
      </c>
      <c r="L9" s="13" t="str">
        <f>IF(Diagnostico!A9=$A9,"OK","DIVERGENTE — verificar linha "&amp;9)</f>
        <v>OK</v>
      </c>
    </row>
    <row r="10" spans="1:12" ht="15" customHeight="1" x14ac:dyDescent="0.35">
      <c r="A10" s="12">
        <v>3118403</v>
      </c>
      <c r="B10" s="12" t="s">
        <v>108</v>
      </c>
      <c r="C10" s="13" t="str">
        <f>IF(Base_SINISA_Agua!A10=$A10,"OK","DIVERGENTE — verificar linha "&amp;10)</f>
        <v>OK</v>
      </c>
      <c r="D10" s="13" t="str">
        <f>IF(Base_SINISA_Esgoto!A10=$A10,"OK","DIVERGENTE — verificar linha "&amp;10)</f>
        <v>OK</v>
      </c>
      <c r="E10" s="13" t="str">
        <f>IF(Base_Denominadores!A10=$A10,"OK","DIVERGENTE — verificar linha "&amp;10)</f>
        <v>OK</v>
      </c>
      <c r="F10" s="13" t="str">
        <f>IF(Sol_Alternativas!A10=$A10,"OK","DIVERGENTE — verificar linha "&amp;10)</f>
        <v>OK</v>
      </c>
      <c r="G10" s="13" t="str">
        <f>IF(Base_SINISA_2023!A10=$A10,"OK","DIVERGENTE — verificar linha "&amp;10)</f>
        <v>OK</v>
      </c>
      <c r="H10" s="13" t="str">
        <f>IF(Base_SINISA_Esgoto_2023!A10=$A10,"OK","DIVERGENTE — verificar linha "&amp;10)</f>
        <v>OK</v>
      </c>
      <c r="I10" s="13" t="str">
        <f>IF(Controle_Oficios!A10=$A10,"OK","DIVERGENTE — verificar linha "&amp;10)</f>
        <v>OK</v>
      </c>
      <c r="J10" s="13" t="str">
        <f>IF('Memoria de calculo - NR9'!A10=$A10,"OK","DIVERGENTE — verificar linha "&amp;10)</f>
        <v>OK</v>
      </c>
      <c r="K10" s="13" t="str">
        <f>IF(Resultados!A10=$A10,"OK","DIVERGENTE — verificar linha "&amp;10)</f>
        <v>OK</v>
      </c>
      <c r="L10" s="13" t="str">
        <f>IF(Diagnostico!A10=$A10,"OK","DIVERGENTE — verificar linha "&amp;10)</f>
        <v>OK</v>
      </c>
    </row>
    <row r="11" spans="1:12" ht="15" customHeight="1" x14ac:dyDescent="0.35">
      <c r="A11" s="12">
        <v>3127701</v>
      </c>
      <c r="B11" s="12" t="s">
        <v>109</v>
      </c>
      <c r="C11" s="13" t="str">
        <f>IF(Base_SINISA_Agua!A11=$A11,"OK","DIVERGENTE — verificar linha "&amp;11)</f>
        <v>OK</v>
      </c>
      <c r="D11" s="13" t="str">
        <f>IF(Base_SINISA_Esgoto!A11=$A11,"OK","DIVERGENTE — verificar linha "&amp;11)</f>
        <v>OK</v>
      </c>
      <c r="E11" s="13" t="str">
        <f>IF(Base_Denominadores!A11=$A11,"OK","DIVERGENTE — verificar linha "&amp;11)</f>
        <v>OK</v>
      </c>
      <c r="F11" s="13" t="str">
        <f>IF(Sol_Alternativas!A11=$A11,"OK","DIVERGENTE — verificar linha "&amp;11)</f>
        <v>OK</v>
      </c>
      <c r="G11" s="13" t="str">
        <f>IF(Base_SINISA_2023!A11=$A11,"OK","DIVERGENTE — verificar linha "&amp;11)</f>
        <v>OK</v>
      </c>
      <c r="H11" s="13" t="str">
        <f>IF(Base_SINISA_Esgoto_2023!A11=$A11,"OK","DIVERGENTE — verificar linha "&amp;11)</f>
        <v>OK</v>
      </c>
      <c r="I11" s="13" t="str">
        <f>IF(Controle_Oficios!A11=$A11,"OK","DIVERGENTE — verificar linha "&amp;11)</f>
        <v>OK</v>
      </c>
      <c r="J11" s="13" t="str">
        <f>IF('Memoria de calculo - NR9'!A11=$A11,"OK","DIVERGENTE — verificar linha "&amp;11)</f>
        <v>OK</v>
      </c>
      <c r="K11" s="13" t="str">
        <f>IF(Resultados!A11=$A11,"OK","DIVERGENTE — verificar linha "&amp;11)</f>
        <v>OK</v>
      </c>
      <c r="L11" s="13" t="str">
        <f>IF(Diagnostico!A11=$A11,"OK","DIVERGENTE — verificar linha "&amp;11)</f>
        <v>OK</v>
      </c>
    </row>
    <row r="12" spans="1:12" ht="15" customHeight="1" x14ac:dyDescent="0.35">
      <c r="A12" s="12">
        <v>3128402</v>
      </c>
      <c r="B12" s="12" t="s">
        <v>111</v>
      </c>
      <c r="C12" s="13" t="str">
        <f>IF(Base_SINISA_Agua!A12=$A12,"OK","DIVERGENTE — verificar linha "&amp;12)</f>
        <v>OK</v>
      </c>
      <c r="D12" s="13" t="str">
        <f>IF(Base_SINISA_Esgoto!A12=$A12,"OK","DIVERGENTE — verificar linha "&amp;12)</f>
        <v>OK</v>
      </c>
      <c r="E12" s="13" t="str">
        <f>IF(Base_Denominadores!A12=$A12,"OK","DIVERGENTE — verificar linha "&amp;12)</f>
        <v>OK</v>
      </c>
      <c r="F12" s="13" t="str">
        <f>IF(Sol_Alternativas!A12=$A12,"OK","DIVERGENTE — verificar linha "&amp;12)</f>
        <v>OK</v>
      </c>
      <c r="G12" s="13" t="str">
        <f>IF(Base_SINISA_2023!A12=$A12,"OK","DIVERGENTE — verificar linha "&amp;12)</f>
        <v>OK</v>
      </c>
      <c r="H12" s="13" t="str">
        <f>IF(Base_SINISA_Esgoto_2023!A12=$A12,"OK","DIVERGENTE — verificar linha "&amp;12)</f>
        <v>OK</v>
      </c>
      <c r="I12" s="13" t="str">
        <f>IF(Controle_Oficios!A12=$A12,"OK","DIVERGENTE — verificar linha "&amp;12)</f>
        <v>OK</v>
      </c>
      <c r="J12" s="13" t="str">
        <f>IF('Memoria de calculo - NR9'!A12=$A12,"OK","DIVERGENTE — verificar linha "&amp;12)</f>
        <v>OK</v>
      </c>
      <c r="K12" s="13" t="str">
        <f>IF(Resultados!A12=$A12,"OK","DIVERGENTE — verificar linha "&amp;12)</f>
        <v>OK</v>
      </c>
      <c r="L12" s="13" t="str">
        <f>IF(Diagnostico!A12=$A12,"OK","DIVERGENTE — verificar linha "&amp;12)</f>
        <v>OK</v>
      </c>
    </row>
    <row r="13" spans="1:12" ht="15" customHeight="1" x14ac:dyDescent="0.35">
      <c r="A13" s="12">
        <v>3131208</v>
      </c>
      <c r="B13" s="12" t="s">
        <v>113</v>
      </c>
      <c r="C13" s="13" t="str">
        <f>IF(Base_SINISA_Agua!A13=$A13,"OK","DIVERGENTE — verificar linha "&amp;13)</f>
        <v>OK</v>
      </c>
      <c r="D13" s="13" t="str">
        <f>IF(Base_SINISA_Esgoto!A13=$A13,"OK","DIVERGENTE — verificar linha "&amp;13)</f>
        <v>OK</v>
      </c>
      <c r="E13" s="13" t="str">
        <f>IF(Base_Denominadores!A13=$A13,"OK","DIVERGENTE — verificar linha "&amp;13)</f>
        <v>OK</v>
      </c>
      <c r="F13" s="13" t="str">
        <f>IF(Sol_Alternativas!A13=$A13,"OK","DIVERGENTE — verificar linha "&amp;13)</f>
        <v>OK</v>
      </c>
      <c r="G13" s="13" t="str">
        <f>IF(Base_SINISA_2023!A13=$A13,"OK","DIVERGENTE — verificar linha "&amp;13)</f>
        <v>OK</v>
      </c>
      <c r="H13" s="13" t="str">
        <f>IF(Base_SINISA_Esgoto_2023!A13=$A13,"OK","DIVERGENTE — verificar linha "&amp;13)</f>
        <v>OK</v>
      </c>
      <c r="I13" s="13" t="str">
        <f>IF(Controle_Oficios!A13=$A13,"OK","DIVERGENTE — verificar linha "&amp;13)</f>
        <v>OK</v>
      </c>
      <c r="J13" s="13" t="str">
        <f>IF('Memoria de calculo - NR9'!A13=$A13,"OK","DIVERGENTE — verificar linha "&amp;13)</f>
        <v>OK</v>
      </c>
      <c r="K13" s="13" t="str">
        <f>IF(Resultados!A13=$A13,"OK","DIVERGENTE — verificar linha "&amp;13)</f>
        <v>OK</v>
      </c>
      <c r="L13" s="13" t="str">
        <f>IF(Diagnostico!A13=$A13,"OK","DIVERGENTE — verificar linha "&amp;13)</f>
        <v>OK</v>
      </c>
    </row>
    <row r="14" spans="1:12" ht="15" customHeight="1" x14ac:dyDescent="0.35">
      <c r="A14" s="12">
        <v>3132701</v>
      </c>
      <c r="B14" s="12" t="s">
        <v>114</v>
      </c>
      <c r="C14" s="13" t="str">
        <f>IF(Base_SINISA_Agua!A14=$A14,"OK","DIVERGENTE — verificar linha "&amp;14)</f>
        <v>OK</v>
      </c>
      <c r="D14" s="13" t="str">
        <f>IF(Base_SINISA_Esgoto!A14=$A14,"OK","DIVERGENTE — verificar linha "&amp;14)</f>
        <v>OK</v>
      </c>
      <c r="E14" s="13" t="str">
        <f>IF(Base_Denominadores!A14=$A14,"OK","DIVERGENTE — verificar linha "&amp;14)</f>
        <v>OK</v>
      </c>
      <c r="F14" s="13" t="str">
        <f>IF(Sol_Alternativas!A14=$A14,"OK","DIVERGENTE — verificar linha "&amp;14)</f>
        <v>OK</v>
      </c>
      <c r="G14" s="13" t="str">
        <f>IF(Base_SINISA_2023!A14=$A14,"OK","DIVERGENTE — verificar linha "&amp;14)</f>
        <v>OK</v>
      </c>
      <c r="H14" s="13" t="str">
        <f>IF(Base_SINISA_Esgoto_2023!A14=$A14,"OK","DIVERGENTE — verificar linha "&amp;14)</f>
        <v>OK</v>
      </c>
      <c r="I14" s="13" t="str">
        <f>IF(Controle_Oficios!A14=$A14,"OK","DIVERGENTE — verificar linha "&amp;14)</f>
        <v>OK</v>
      </c>
      <c r="J14" s="13" t="str">
        <f>IF('Memoria de calculo - NR9'!A14=$A14,"OK","DIVERGENTE — verificar linha "&amp;14)</f>
        <v>OK</v>
      </c>
      <c r="K14" s="13" t="str">
        <f>IF(Resultados!A14=$A14,"OK","DIVERGENTE — verificar linha "&amp;14)</f>
        <v>OK</v>
      </c>
      <c r="L14" s="13" t="str">
        <f>IF(Diagnostico!A14=$A14,"OK","DIVERGENTE — verificar linha "&amp;14)</f>
        <v>OK</v>
      </c>
    </row>
    <row r="15" spans="1:12" ht="15" customHeight="1" x14ac:dyDescent="0.35">
      <c r="A15" s="12">
        <v>3135076</v>
      </c>
      <c r="B15" s="12" t="s">
        <v>115</v>
      </c>
      <c r="C15" s="13" t="str">
        <f>IF(Base_SINISA_Agua!A15=$A15,"OK","DIVERGENTE — verificar linha "&amp;15)</f>
        <v>OK</v>
      </c>
      <c r="D15" s="13" t="str">
        <f>IF(Base_SINISA_Esgoto!A15=$A15,"OK","DIVERGENTE — verificar linha "&amp;15)</f>
        <v>OK</v>
      </c>
      <c r="E15" s="13" t="str">
        <f>IF(Base_Denominadores!A15=$A15,"OK","DIVERGENTE — verificar linha "&amp;15)</f>
        <v>OK</v>
      </c>
      <c r="F15" s="13" t="str">
        <f>IF(Sol_Alternativas!A15=$A15,"OK","DIVERGENTE — verificar linha "&amp;15)</f>
        <v>OK</v>
      </c>
      <c r="G15" s="13" t="str">
        <f>IF(Base_SINISA_2023!A15=$A15,"OK","DIVERGENTE — verificar linha "&amp;15)</f>
        <v>OK</v>
      </c>
      <c r="H15" s="13" t="str">
        <f>IF(Base_SINISA_Esgoto_2023!A15=$A15,"OK","DIVERGENTE — verificar linha "&amp;15)</f>
        <v>OK</v>
      </c>
      <c r="I15" s="13" t="str">
        <f>IF(Controle_Oficios!A15=$A15,"OK","DIVERGENTE — verificar linha "&amp;15)</f>
        <v>OK</v>
      </c>
      <c r="J15" s="13" t="str">
        <f>IF('Memoria de calculo - NR9'!A15=$A15,"OK","DIVERGENTE — verificar linha "&amp;15)</f>
        <v>OK</v>
      </c>
      <c r="K15" s="13" t="str">
        <f>IF(Resultados!A15=$A15,"OK","DIVERGENTE — verificar linha "&amp;15)</f>
        <v>OK</v>
      </c>
      <c r="L15" s="13" t="str">
        <f>IF(Diagnostico!A15=$A15,"OK","DIVERGENTE — verificar linha "&amp;15)</f>
        <v>OK</v>
      </c>
    </row>
    <row r="16" spans="1:12" ht="15" customHeight="1" x14ac:dyDescent="0.35">
      <c r="A16" s="12">
        <v>3135407</v>
      </c>
      <c r="B16" s="12" t="s">
        <v>117</v>
      </c>
      <c r="C16" s="13" t="str">
        <f>IF(Base_SINISA_Agua!A16=$A16,"OK","DIVERGENTE — verificar linha "&amp;16)</f>
        <v>OK</v>
      </c>
      <c r="D16" s="13" t="str">
        <f>IF(Base_SINISA_Esgoto!A16=$A16,"OK","DIVERGENTE — verificar linha "&amp;16)</f>
        <v>OK</v>
      </c>
      <c r="E16" s="13" t="str">
        <f>IF(Base_Denominadores!A16=$A16,"OK","DIVERGENTE — verificar linha "&amp;16)</f>
        <v>OK</v>
      </c>
      <c r="F16" s="13" t="str">
        <f>IF(Sol_Alternativas!A16=$A16,"OK","DIVERGENTE — verificar linha "&amp;16)</f>
        <v>OK</v>
      </c>
      <c r="G16" s="13" t="str">
        <f>IF(Base_SINISA_2023!A16=$A16,"OK","DIVERGENTE — verificar linha "&amp;16)</f>
        <v>OK</v>
      </c>
      <c r="H16" s="13" t="str">
        <f>IF(Base_SINISA_Esgoto_2023!A16=$A16,"OK","DIVERGENTE — verificar linha "&amp;16)</f>
        <v>OK</v>
      </c>
      <c r="I16" s="13" t="str">
        <f>IF(Controle_Oficios!A16=$A16,"OK","DIVERGENTE — verificar linha "&amp;16)</f>
        <v>OK</v>
      </c>
      <c r="J16" s="13" t="str">
        <f>IF('Memoria de calculo - NR9'!A16=$A16,"OK","DIVERGENTE — verificar linha "&amp;16)</f>
        <v>OK</v>
      </c>
      <c r="K16" s="13" t="str">
        <f>IF(Resultados!A16=$A16,"OK","DIVERGENTE — verificar linha "&amp;16)</f>
        <v>OK</v>
      </c>
      <c r="L16" s="13" t="str">
        <f>IF(Diagnostico!A16=$A16,"OK","DIVERGENTE — verificar linha "&amp;16)</f>
        <v>OK</v>
      </c>
    </row>
    <row r="17" spans="1:12" ht="15" customHeight="1" x14ac:dyDescent="0.35">
      <c r="A17" s="12">
        <v>3135506</v>
      </c>
      <c r="B17" s="12" t="s">
        <v>119</v>
      </c>
      <c r="C17" s="13" t="str">
        <f>IF(Base_SINISA_Agua!A17=$A17,"OK","DIVERGENTE — verificar linha "&amp;17)</f>
        <v>OK</v>
      </c>
      <c r="D17" s="13" t="str">
        <f>IF(Base_SINISA_Esgoto!A17=$A17,"OK","DIVERGENTE — verificar linha "&amp;17)</f>
        <v>OK</v>
      </c>
      <c r="E17" s="13" t="str">
        <f>IF(Base_Denominadores!A17=$A17,"OK","DIVERGENTE — verificar linha "&amp;17)</f>
        <v>OK</v>
      </c>
      <c r="F17" s="13" t="str">
        <f>IF(Sol_Alternativas!A17=$A17,"OK","DIVERGENTE — verificar linha "&amp;17)</f>
        <v>OK</v>
      </c>
      <c r="G17" s="13" t="str">
        <f>IF(Base_SINISA_2023!A17=$A17,"OK","DIVERGENTE — verificar linha "&amp;17)</f>
        <v>OK</v>
      </c>
      <c r="H17" s="13" t="str">
        <f>IF(Base_SINISA_Esgoto_2023!A17=$A17,"OK","DIVERGENTE — verificar linha "&amp;17)</f>
        <v>OK</v>
      </c>
      <c r="I17" s="13" t="str">
        <f>IF(Controle_Oficios!A17=$A17,"OK","DIVERGENTE — verificar linha "&amp;17)</f>
        <v>OK</v>
      </c>
      <c r="J17" s="13" t="str">
        <f>IF('Memoria de calculo - NR9'!A17=$A17,"OK","DIVERGENTE — verificar linha "&amp;17)</f>
        <v>OK</v>
      </c>
      <c r="K17" s="13" t="str">
        <f>IF(Resultados!A17=$A17,"OK","DIVERGENTE — verificar linha "&amp;17)</f>
        <v>OK</v>
      </c>
      <c r="L17" s="13" t="str">
        <f>IF(Diagnostico!A17=$A17,"OK","DIVERGENTE — verificar linha "&amp;17)</f>
        <v>OK</v>
      </c>
    </row>
    <row r="18" spans="1:12" ht="15" customHeight="1" x14ac:dyDescent="0.35">
      <c r="A18" s="12">
        <v>3137700</v>
      </c>
      <c r="B18" s="12" t="s">
        <v>121</v>
      </c>
      <c r="C18" s="13" t="str">
        <f>IF(Base_SINISA_Agua!A18=$A18,"OK","DIVERGENTE — verificar linha "&amp;18)</f>
        <v>OK</v>
      </c>
      <c r="D18" s="13" t="str">
        <f>IF(Base_SINISA_Esgoto!A18=$A18,"OK","DIVERGENTE — verificar linha "&amp;18)</f>
        <v>OK</v>
      </c>
      <c r="E18" s="13" t="str">
        <f>IF(Base_Denominadores!A18=$A18,"OK","DIVERGENTE — verificar linha "&amp;18)</f>
        <v>OK</v>
      </c>
      <c r="F18" s="13" t="str">
        <f>IF(Sol_Alternativas!A18=$A18,"OK","DIVERGENTE — verificar linha "&amp;18)</f>
        <v>OK</v>
      </c>
      <c r="G18" s="13" t="str">
        <f>IF(Base_SINISA_2023!A18=$A18,"OK","DIVERGENTE — verificar linha "&amp;18)</f>
        <v>OK</v>
      </c>
      <c r="H18" s="13" t="str">
        <f>IF(Base_SINISA_Esgoto_2023!A18=$A18,"OK","DIVERGENTE — verificar linha "&amp;18)</f>
        <v>OK</v>
      </c>
      <c r="I18" s="13" t="str">
        <f>IF(Controle_Oficios!A18=$A18,"OK","DIVERGENTE — verificar linha "&amp;18)</f>
        <v>OK</v>
      </c>
      <c r="J18" s="13" t="str">
        <f>IF('Memoria de calculo - NR9'!A18=$A18,"OK","DIVERGENTE — verificar linha "&amp;18)</f>
        <v>OK</v>
      </c>
      <c r="K18" s="13" t="str">
        <f>IF(Resultados!A18=$A18,"OK","DIVERGENTE — verificar linha "&amp;18)</f>
        <v>OK</v>
      </c>
      <c r="L18" s="13" t="str">
        <f>IF(Diagnostico!A18=$A18,"OK","DIVERGENTE — verificar linha "&amp;18)</f>
        <v>OK</v>
      </c>
    </row>
    <row r="19" spans="1:12" ht="15" customHeight="1" x14ac:dyDescent="0.35">
      <c r="A19" s="12">
        <v>3138609</v>
      </c>
      <c r="B19" s="12" t="s">
        <v>122</v>
      </c>
      <c r="C19" s="13" t="str">
        <f>IF(Base_SINISA_Agua!A19=$A19,"OK","DIVERGENTE — verificar linha "&amp;19)</f>
        <v>OK</v>
      </c>
      <c r="D19" s="13" t="str">
        <f>IF(Base_SINISA_Esgoto!A19=$A19,"OK","DIVERGENTE — verificar linha "&amp;19)</f>
        <v>OK</v>
      </c>
      <c r="E19" s="13" t="str">
        <f>IF(Base_Denominadores!A19=$A19,"OK","DIVERGENTE — verificar linha "&amp;19)</f>
        <v>OK</v>
      </c>
      <c r="F19" s="13" t="str">
        <f>IF(Sol_Alternativas!A19=$A19,"OK","DIVERGENTE — verificar linha "&amp;19)</f>
        <v>OK</v>
      </c>
      <c r="G19" s="13" t="str">
        <f>IF(Base_SINISA_2023!A19=$A19,"OK","DIVERGENTE — verificar linha "&amp;19)</f>
        <v>OK</v>
      </c>
      <c r="H19" s="13" t="str">
        <f>IF(Base_SINISA_Esgoto_2023!A19=$A19,"OK","DIVERGENTE — verificar linha "&amp;19)</f>
        <v>OK</v>
      </c>
      <c r="I19" s="13" t="str">
        <f>IF(Controle_Oficios!A19=$A19,"OK","DIVERGENTE — verificar linha "&amp;19)</f>
        <v>OK</v>
      </c>
      <c r="J19" s="13" t="str">
        <f>IF('Memoria de calculo - NR9'!A19=$A19,"OK","DIVERGENTE — verificar linha "&amp;19)</f>
        <v>OK</v>
      </c>
      <c r="K19" s="13" t="str">
        <f>IF(Resultados!A19=$A19,"OK","DIVERGENTE — verificar linha "&amp;19)</f>
        <v>OK</v>
      </c>
      <c r="L19" s="13" t="str">
        <f>IF(Diagnostico!A19=$A19,"OK","DIVERGENTE — verificar linha "&amp;19)</f>
        <v>OK</v>
      </c>
    </row>
    <row r="20" spans="1:12" ht="15" customHeight="1" x14ac:dyDescent="0.35">
      <c r="A20" s="12">
        <v>3139409</v>
      </c>
      <c r="B20" s="12" t="s">
        <v>123</v>
      </c>
      <c r="C20" s="13" t="str">
        <f>IF(Base_SINISA_Agua!A20=$A20,"OK","DIVERGENTE — verificar linha "&amp;20)</f>
        <v>OK</v>
      </c>
      <c r="D20" s="13" t="str">
        <f>IF(Base_SINISA_Esgoto!A20=$A20,"OK","DIVERGENTE — verificar linha "&amp;20)</f>
        <v>OK</v>
      </c>
      <c r="E20" s="13" t="str">
        <f>IF(Base_Denominadores!A20=$A20,"OK","DIVERGENTE — verificar linha "&amp;20)</f>
        <v>OK</v>
      </c>
      <c r="F20" s="13" t="str">
        <f>IF(Sol_Alternativas!A20=$A20,"OK","DIVERGENTE — verificar linha "&amp;20)</f>
        <v>OK</v>
      </c>
      <c r="G20" s="13" t="str">
        <f>IF(Base_SINISA_2023!A20=$A20,"OK","DIVERGENTE — verificar linha "&amp;20)</f>
        <v>OK</v>
      </c>
      <c r="H20" s="13" t="str">
        <f>IF(Base_SINISA_Esgoto_2023!A20=$A20,"OK","DIVERGENTE — verificar linha "&amp;20)</f>
        <v>OK</v>
      </c>
      <c r="I20" s="13" t="str">
        <f>IF(Controle_Oficios!A20=$A20,"OK","DIVERGENTE — verificar linha "&amp;20)</f>
        <v>OK</v>
      </c>
      <c r="J20" s="13" t="str">
        <f>IF('Memoria de calculo - NR9'!A20=$A20,"OK","DIVERGENTE — verificar linha "&amp;20)</f>
        <v>OK</v>
      </c>
      <c r="K20" s="13" t="str">
        <f>IF(Resultados!A20=$A20,"OK","DIVERGENTE — verificar linha "&amp;20)</f>
        <v>OK</v>
      </c>
      <c r="L20" s="13" t="str">
        <f>IF(Diagnostico!A20=$A20,"OK","DIVERGENTE — verificar linha "&amp;20)</f>
        <v>OK</v>
      </c>
    </row>
    <row r="21" spans="1:12" ht="15" customHeight="1" x14ac:dyDescent="0.35">
      <c r="A21" s="12">
        <v>3139508</v>
      </c>
      <c r="B21" s="12" t="s">
        <v>125</v>
      </c>
      <c r="C21" s="13" t="str">
        <f>IF(Base_SINISA_Agua!A21=$A21,"OK","DIVERGENTE — verificar linha "&amp;21)</f>
        <v>OK</v>
      </c>
      <c r="D21" s="13" t="str">
        <f>IF(Base_SINISA_Esgoto!A21=$A21,"OK","DIVERGENTE — verificar linha "&amp;21)</f>
        <v>OK</v>
      </c>
      <c r="E21" s="13" t="str">
        <f>IF(Base_Denominadores!A21=$A21,"OK","DIVERGENTE — verificar linha "&amp;21)</f>
        <v>OK</v>
      </c>
      <c r="F21" s="13" t="str">
        <f>IF(Sol_Alternativas!A21=$A21,"OK","DIVERGENTE — verificar linha "&amp;21)</f>
        <v>OK</v>
      </c>
      <c r="G21" s="13" t="str">
        <f>IF(Base_SINISA_2023!A21=$A21,"OK","DIVERGENTE — verificar linha "&amp;21)</f>
        <v>OK</v>
      </c>
      <c r="H21" s="13" t="str">
        <f>IF(Base_SINISA_Esgoto_2023!A21=$A21,"OK","DIVERGENTE — verificar linha "&amp;21)</f>
        <v>OK</v>
      </c>
      <c r="I21" s="13" t="str">
        <f>IF(Controle_Oficios!A21=$A21,"OK","DIVERGENTE — verificar linha "&amp;21)</f>
        <v>OK</v>
      </c>
      <c r="J21" s="13" t="str">
        <f>IF('Memoria de calculo - NR9'!A21=$A21,"OK","DIVERGENTE — verificar linha "&amp;21)</f>
        <v>OK</v>
      </c>
      <c r="K21" s="13" t="str">
        <f>IF(Resultados!A21=$A21,"OK","DIVERGENTE — verificar linha "&amp;21)</f>
        <v>OK</v>
      </c>
      <c r="L21" s="13" t="str">
        <f>IF(Diagnostico!A21=$A21,"OK","DIVERGENTE — verificar linha "&amp;21)</f>
        <v>OK</v>
      </c>
    </row>
    <row r="22" spans="1:12" ht="15" customHeight="1" x14ac:dyDescent="0.35">
      <c r="A22" s="12">
        <v>3139607</v>
      </c>
      <c r="B22" s="12" t="s">
        <v>126</v>
      </c>
      <c r="C22" s="13" t="str">
        <f>IF(Base_SINISA_Agua!A22=$A22,"OK","DIVERGENTE — verificar linha "&amp;22)</f>
        <v>OK</v>
      </c>
      <c r="D22" s="13" t="str">
        <f>IF(Base_SINISA_Esgoto!A22=$A22,"OK","DIVERGENTE — verificar linha "&amp;22)</f>
        <v>OK</v>
      </c>
      <c r="E22" s="13" t="str">
        <f>IF(Base_Denominadores!A22=$A22,"OK","DIVERGENTE — verificar linha "&amp;22)</f>
        <v>OK</v>
      </c>
      <c r="F22" s="13" t="str">
        <f>IF(Sol_Alternativas!A22=$A22,"OK","DIVERGENTE — verificar linha "&amp;22)</f>
        <v>OK</v>
      </c>
      <c r="G22" s="13" t="str">
        <f>IF(Base_SINISA_2023!A22=$A22,"OK","DIVERGENTE — verificar linha "&amp;22)</f>
        <v>OK</v>
      </c>
      <c r="H22" s="13" t="str">
        <f>IF(Base_SINISA_Esgoto_2023!A22=$A22,"OK","DIVERGENTE — verificar linha "&amp;22)</f>
        <v>OK</v>
      </c>
      <c r="I22" s="13" t="str">
        <f>IF(Controle_Oficios!A22=$A22,"OK","DIVERGENTE — verificar linha "&amp;22)</f>
        <v>OK</v>
      </c>
      <c r="J22" s="13" t="str">
        <f>IF('Memoria de calculo - NR9'!A22=$A22,"OK","DIVERGENTE — verificar linha "&amp;22)</f>
        <v>OK</v>
      </c>
      <c r="K22" s="13" t="str">
        <f>IF(Resultados!A22=$A22,"OK","DIVERGENTE — verificar linha "&amp;22)</f>
        <v>OK</v>
      </c>
      <c r="L22" s="13" t="str">
        <f>IF(Diagnostico!A22=$A22,"OK","DIVERGENTE — verificar linha "&amp;22)</f>
        <v>OK</v>
      </c>
    </row>
    <row r="23" spans="1:12" ht="15" customHeight="1" x14ac:dyDescent="0.35">
      <c r="A23" s="12">
        <v>3140001</v>
      </c>
      <c r="B23" s="12" t="s">
        <v>127</v>
      </c>
      <c r="C23" s="13" t="str">
        <f>IF(Base_SINISA_Agua!A23=$A23,"OK","DIVERGENTE — verificar linha "&amp;23)</f>
        <v>OK</v>
      </c>
      <c r="D23" s="13" t="str">
        <f>IF(Base_SINISA_Esgoto!A23=$A23,"OK","DIVERGENTE — verificar linha "&amp;23)</f>
        <v>OK</v>
      </c>
      <c r="E23" s="13" t="str">
        <f>IF(Base_Denominadores!A23=$A23,"OK","DIVERGENTE — verificar linha "&amp;23)</f>
        <v>OK</v>
      </c>
      <c r="F23" s="13" t="str">
        <f>IF(Sol_Alternativas!A23=$A23,"OK","DIVERGENTE — verificar linha "&amp;23)</f>
        <v>OK</v>
      </c>
      <c r="G23" s="13" t="str">
        <f>IF(Base_SINISA_2023!A23=$A23,"OK","DIVERGENTE — verificar linha "&amp;23)</f>
        <v>OK</v>
      </c>
      <c r="H23" s="13" t="str">
        <f>IF(Base_SINISA_Esgoto_2023!A23=$A23,"OK","DIVERGENTE — verificar linha "&amp;23)</f>
        <v>OK</v>
      </c>
      <c r="I23" s="13" t="str">
        <f>IF(Controle_Oficios!A23=$A23,"OK","DIVERGENTE — verificar linha "&amp;23)</f>
        <v>OK</v>
      </c>
      <c r="J23" s="13" t="str">
        <f>IF('Memoria de calculo - NR9'!A23=$A23,"OK","DIVERGENTE — verificar linha "&amp;23)</f>
        <v>OK</v>
      </c>
      <c r="K23" s="13" t="str">
        <f>IF(Resultados!A23=$A23,"OK","DIVERGENTE — verificar linha "&amp;23)</f>
        <v>OK</v>
      </c>
      <c r="L23" s="13" t="str">
        <f>IF(Diagnostico!A23=$A23,"OK","DIVERGENTE — verificar linha "&amp;23)</f>
        <v>OK</v>
      </c>
    </row>
    <row r="24" spans="1:12" ht="15" customHeight="1" x14ac:dyDescent="0.35">
      <c r="A24" s="12">
        <v>3143906</v>
      </c>
      <c r="B24" s="12" t="s">
        <v>129</v>
      </c>
      <c r="C24" s="13" t="str">
        <f>IF(Base_SINISA_Agua!A24=$A24,"OK","DIVERGENTE — verificar linha "&amp;24)</f>
        <v>OK</v>
      </c>
      <c r="D24" s="13" t="str">
        <f>IF(Base_SINISA_Esgoto!A24=$A24,"OK","DIVERGENTE — verificar linha "&amp;24)</f>
        <v>OK</v>
      </c>
      <c r="E24" s="13" t="str">
        <f>IF(Base_Denominadores!A24=$A24,"OK","DIVERGENTE — verificar linha "&amp;24)</f>
        <v>OK</v>
      </c>
      <c r="F24" s="13" t="str">
        <f>IF(Sol_Alternativas!A24=$A24,"OK","DIVERGENTE — verificar linha "&amp;24)</f>
        <v>OK</v>
      </c>
      <c r="G24" s="13" t="str">
        <f>IF(Base_SINISA_2023!A24=$A24,"OK","DIVERGENTE — verificar linha "&amp;24)</f>
        <v>OK</v>
      </c>
      <c r="H24" s="13" t="str">
        <f>IF(Base_SINISA_Esgoto_2023!A24=$A24,"OK","DIVERGENTE — verificar linha "&amp;24)</f>
        <v>OK</v>
      </c>
      <c r="I24" s="13" t="str">
        <f>IF(Controle_Oficios!A24=$A24,"OK","DIVERGENTE — verificar linha "&amp;24)</f>
        <v>OK</v>
      </c>
      <c r="J24" s="13" t="str">
        <f>IF('Memoria de calculo - NR9'!A24=$A24,"OK","DIVERGENTE — verificar linha "&amp;24)</f>
        <v>OK</v>
      </c>
      <c r="K24" s="13" t="str">
        <f>IF(Resultados!A24=$A24,"OK","DIVERGENTE — verificar linha "&amp;24)</f>
        <v>OK</v>
      </c>
      <c r="L24" s="13" t="str">
        <f>IF(Diagnostico!A24=$A24,"OK","DIVERGENTE — verificar linha "&amp;24)</f>
        <v>OK</v>
      </c>
    </row>
    <row r="25" spans="1:12" ht="15" customHeight="1" x14ac:dyDescent="0.35">
      <c r="A25" s="12">
        <v>3145851</v>
      </c>
      <c r="B25" s="12" t="s">
        <v>131</v>
      </c>
      <c r="C25" s="13" t="str">
        <f>IF(Base_SINISA_Agua!A25=$A25,"OK","DIVERGENTE — verificar linha "&amp;25)</f>
        <v>OK</v>
      </c>
      <c r="D25" s="13" t="str">
        <f>IF(Base_SINISA_Esgoto!A25=$A25,"OK","DIVERGENTE — verificar linha "&amp;25)</f>
        <v>OK</v>
      </c>
      <c r="E25" s="13" t="str">
        <f>IF(Base_Denominadores!A25=$A25,"OK","DIVERGENTE — verificar linha "&amp;25)</f>
        <v>OK</v>
      </c>
      <c r="F25" s="13" t="str">
        <f>IF(Sol_Alternativas!A25=$A25,"OK","DIVERGENTE — verificar linha "&amp;25)</f>
        <v>OK</v>
      </c>
      <c r="G25" s="13" t="str">
        <f>IF(Base_SINISA_2023!A25=$A25,"OK","DIVERGENTE — verificar linha "&amp;25)</f>
        <v>OK</v>
      </c>
      <c r="H25" s="13" t="str">
        <f>IF(Base_SINISA_Esgoto_2023!A25=$A25,"OK","DIVERGENTE — verificar linha "&amp;25)</f>
        <v>OK</v>
      </c>
      <c r="I25" s="13" t="str">
        <f>IF(Controle_Oficios!A25=$A25,"OK","DIVERGENTE — verificar linha "&amp;25)</f>
        <v>OK</v>
      </c>
      <c r="J25" s="13" t="str">
        <f>IF('Memoria de calculo - NR9'!A25=$A25,"OK","DIVERGENTE — verificar linha "&amp;25)</f>
        <v>OK</v>
      </c>
      <c r="K25" s="13" t="str">
        <f>IF(Resultados!A25=$A25,"OK","DIVERGENTE — verificar linha "&amp;25)</f>
        <v>OK</v>
      </c>
      <c r="L25" s="13" t="str">
        <f>IF(Diagnostico!A25=$A25,"OK","DIVERGENTE — verificar linha "&amp;25)</f>
        <v>OK</v>
      </c>
    </row>
    <row r="26" spans="1:12" ht="15" customHeight="1" x14ac:dyDescent="0.35">
      <c r="A26" s="12">
        <v>3150604</v>
      </c>
      <c r="B26" s="12" t="s">
        <v>132</v>
      </c>
      <c r="C26" s="13" t="str">
        <f>IF(Base_SINISA_Agua!A26=$A26,"OK","DIVERGENTE — verificar linha "&amp;26)</f>
        <v>OK</v>
      </c>
      <c r="D26" s="13" t="str">
        <f>IF(Base_SINISA_Esgoto!A26=$A26,"OK","DIVERGENTE — verificar linha "&amp;26)</f>
        <v>OK</v>
      </c>
      <c r="E26" s="13" t="str">
        <f>IF(Base_Denominadores!A26=$A26,"OK","DIVERGENTE — verificar linha "&amp;26)</f>
        <v>OK</v>
      </c>
      <c r="F26" s="13" t="str">
        <f>IF(Sol_Alternativas!A26=$A26,"OK","DIVERGENTE — verificar linha "&amp;26)</f>
        <v>OK</v>
      </c>
      <c r="G26" s="13" t="str">
        <f>IF(Base_SINISA_2023!A26=$A26,"OK","DIVERGENTE — verificar linha "&amp;26)</f>
        <v>OK</v>
      </c>
      <c r="H26" s="13" t="str">
        <f>IF(Base_SINISA_Esgoto_2023!A26=$A26,"OK","DIVERGENTE — verificar linha "&amp;26)</f>
        <v>OK</v>
      </c>
      <c r="I26" s="13" t="str">
        <f>IF(Controle_Oficios!A26=$A26,"OK","DIVERGENTE — verificar linha "&amp;26)</f>
        <v>OK</v>
      </c>
      <c r="J26" s="13" t="str">
        <f>IF('Memoria de calculo - NR9'!A26=$A26,"OK","DIVERGENTE — verificar linha "&amp;26)</f>
        <v>OK</v>
      </c>
      <c r="K26" s="13" t="str">
        <f>IF(Resultados!A26=$A26,"OK","DIVERGENTE — verificar linha "&amp;26)</f>
        <v>OK</v>
      </c>
      <c r="L26" s="13" t="str">
        <f>IF(Diagnostico!A26=$A26,"OK","DIVERGENTE — verificar linha "&amp;26)</f>
        <v>OK</v>
      </c>
    </row>
    <row r="27" spans="1:12" ht="15" customHeight="1" x14ac:dyDescent="0.35">
      <c r="A27" s="12">
        <v>3151909</v>
      </c>
      <c r="B27" s="12" t="s">
        <v>134</v>
      </c>
      <c r="C27" s="13" t="str">
        <f>IF(Base_SINISA_Agua!A27=$A27,"OK","DIVERGENTE — verificar linha "&amp;27)</f>
        <v>OK</v>
      </c>
      <c r="D27" s="13" t="str">
        <f>IF(Base_SINISA_Esgoto!A27=$A27,"OK","DIVERGENTE — verificar linha "&amp;27)</f>
        <v>OK</v>
      </c>
      <c r="E27" s="13" t="str">
        <f>IF(Base_Denominadores!A27=$A27,"OK","DIVERGENTE — verificar linha "&amp;27)</f>
        <v>OK</v>
      </c>
      <c r="F27" s="13" t="str">
        <f>IF(Sol_Alternativas!A27=$A27,"OK","DIVERGENTE — verificar linha "&amp;27)</f>
        <v>OK</v>
      </c>
      <c r="G27" s="13" t="str">
        <f>IF(Base_SINISA_2023!A27=$A27,"OK","DIVERGENTE — verificar linha "&amp;27)</f>
        <v>OK</v>
      </c>
      <c r="H27" s="13" t="str">
        <f>IF(Base_SINISA_Esgoto_2023!A27=$A27,"OK","DIVERGENTE — verificar linha "&amp;27)</f>
        <v>OK</v>
      </c>
      <c r="I27" s="13" t="str">
        <f>IF(Controle_Oficios!A27=$A27,"OK","DIVERGENTE — verificar linha "&amp;27)</f>
        <v>OK</v>
      </c>
      <c r="J27" s="13" t="str">
        <f>IF('Memoria de calculo - NR9'!A27=$A27,"OK","DIVERGENTE — verificar linha "&amp;27)</f>
        <v>OK</v>
      </c>
      <c r="K27" s="13" t="str">
        <f>IF(Resultados!A27=$A27,"OK","DIVERGENTE — verificar linha "&amp;27)</f>
        <v>OK</v>
      </c>
      <c r="L27" s="13" t="str">
        <f>IF(Diagnostico!A27=$A27,"OK","DIVERGENTE — verificar linha "&amp;27)</f>
        <v>OK</v>
      </c>
    </row>
    <row r="28" spans="1:12" ht="15" customHeight="1" x14ac:dyDescent="0.35">
      <c r="A28" s="12">
        <v>3152105</v>
      </c>
      <c r="B28" s="12" t="s">
        <v>135</v>
      </c>
      <c r="C28" s="13" t="str">
        <f>IF(Base_SINISA_Agua!A28=$A28,"OK","DIVERGENTE — verificar linha "&amp;28)</f>
        <v>OK</v>
      </c>
      <c r="D28" s="13" t="str">
        <f>IF(Base_SINISA_Esgoto!A28=$A28,"OK","DIVERGENTE — verificar linha "&amp;28)</f>
        <v>OK</v>
      </c>
      <c r="E28" s="13" t="str">
        <f>IF(Base_Denominadores!A28=$A28,"OK","DIVERGENTE — verificar linha "&amp;28)</f>
        <v>OK</v>
      </c>
      <c r="F28" s="13" t="str">
        <f>IF(Sol_Alternativas!A28=$A28,"OK","DIVERGENTE — verificar linha "&amp;28)</f>
        <v>OK</v>
      </c>
      <c r="G28" s="13" t="str">
        <f>IF(Base_SINISA_2023!A28=$A28,"OK","DIVERGENTE — verificar linha "&amp;28)</f>
        <v>OK</v>
      </c>
      <c r="H28" s="13" t="str">
        <f>IF(Base_SINISA_Esgoto_2023!A28=$A28,"OK","DIVERGENTE — verificar linha "&amp;28)</f>
        <v>OK</v>
      </c>
      <c r="I28" s="13" t="str">
        <f>IF(Controle_Oficios!A28=$A28,"OK","DIVERGENTE — verificar linha "&amp;28)</f>
        <v>OK</v>
      </c>
      <c r="J28" s="13" t="str">
        <f>IF('Memoria de calculo - NR9'!A28=$A28,"OK","DIVERGENTE — verificar linha "&amp;28)</f>
        <v>OK</v>
      </c>
      <c r="K28" s="13" t="str">
        <f>IF(Resultados!A28=$A28,"OK","DIVERGENTE — verificar linha "&amp;28)</f>
        <v>OK</v>
      </c>
      <c r="L28" s="13" t="str">
        <f>IF(Diagnostico!A28=$A28,"OK","DIVERGENTE — verificar linha "&amp;28)</f>
        <v>OK</v>
      </c>
    </row>
    <row r="29" spans="1:12" ht="15" customHeight="1" x14ac:dyDescent="0.35">
      <c r="A29" s="12">
        <v>3154002</v>
      </c>
      <c r="B29" s="12" t="s">
        <v>137</v>
      </c>
      <c r="C29" s="13" t="str">
        <f>IF(Base_SINISA_Agua!A29=$A29,"OK","DIVERGENTE — verificar linha "&amp;29)</f>
        <v>OK</v>
      </c>
      <c r="D29" s="13" t="str">
        <f>IF(Base_SINISA_Esgoto!A29=$A29,"OK","DIVERGENTE — verificar linha "&amp;29)</f>
        <v>OK</v>
      </c>
      <c r="E29" s="13" t="str">
        <f>IF(Base_Denominadores!A29=$A29,"OK","DIVERGENTE — verificar linha "&amp;29)</f>
        <v>OK</v>
      </c>
      <c r="F29" s="13" t="str">
        <f>IF(Sol_Alternativas!A29=$A29,"OK","DIVERGENTE — verificar linha "&amp;29)</f>
        <v>OK</v>
      </c>
      <c r="G29" s="13" t="str">
        <f>IF(Base_SINISA_2023!A29=$A29,"OK","DIVERGENTE — verificar linha "&amp;29)</f>
        <v>OK</v>
      </c>
      <c r="H29" s="13" t="str">
        <f>IF(Base_SINISA_Esgoto_2023!A29=$A29,"OK","DIVERGENTE — verificar linha "&amp;29)</f>
        <v>OK</v>
      </c>
      <c r="I29" s="13" t="str">
        <f>IF(Controle_Oficios!A29=$A29,"OK","DIVERGENTE — verificar linha "&amp;29)</f>
        <v>OK</v>
      </c>
      <c r="J29" s="13" t="str">
        <f>IF('Memoria de calculo - NR9'!A29=$A29,"OK","DIVERGENTE — verificar linha "&amp;29)</f>
        <v>OK</v>
      </c>
      <c r="K29" s="13" t="str">
        <f>IF(Resultados!A29=$A29,"OK","DIVERGENTE — verificar linha "&amp;29)</f>
        <v>OK</v>
      </c>
      <c r="L29" s="13" t="str">
        <f>IF(Diagnostico!A29=$A29,"OK","DIVERGENTE — verificar linha "&amp;29)</f>
        <v>OK</v>
      </c>
    </row>
    <row r="30" spans="1:12" ht="15" customHeight="1" x14ac:dyDescent="0.35">
      <c r="A30" s="12">
        <v>3154101</v>
      </c>
      <c r="B30" s="12" t="s">
        <v>138</v>
      </c>
      <c r="C30" s="13" t="str">
        <f>IF(Base_SINISA_Agua!A30=$A30,"OK","DIVERGENTE — verificar linha "&amp;30)</f>
        <v>OK</v>
      </c>
      <c r="D30" s="13" t="str">
        <f>IF(Base_SINISA_Esgoto!A30=$A30,"OK","DIVERGENTE — verificar linha "&amp;30)</f>
        <v>OK</v>
      </c>
      <c r="E30" s="13" t="str">
        <f>IF(Base_Denominadores!A30=$A30,"OK","DIVERGENTE — verificar linha "&amp;30)</f>
        <v>OK</v>
      </c>
      <c r="F30" s="13" t="str">
        <f>IF(Sol_Alternativas!A30=$A30,"OK","DIVERGENTE — verificar linha "&amp;30)</f>
        <v>OK</v>
      </c>
      <c r="G30" s="13" t="str">
        <f>IF(Base_SINISA_2023!A30=$A30,"OK","DIVERGENTE — verificar linha "&amp;30)</f>
        <v>OK</v>
      </c>
      <c r="H30" s="13" t="str">
        <f>IF(Base_SINISA_Esgoto_2023!A30=$A30,"OK","DIVERGENTE — verificar linha "&amp;30)</f>
        <v>OK</v>
      </c>
      <c r="I30" s="13" t="str">
        <f>IF(Controle_Oficios!A30=$A30,"OK","DIVERGENTE — verificar linha "&amp;30)</f>
        <v>OK</v>
      </c>
      <c r="J30" s="13" t="str">
        <f>IF('Memoria de calculo - NR9'!A30=$A30,"OK","DIVERGENTE — verificar linha "&amp;30)</f>
        <v>OK</v>
      </c>
      <c r="K30" s="13" t="str">
        <f>IF(Resultados!A30=$A30,"OK","DIVERGENTE — verificar linha "&amp;30)</f>
        <v>OK</v>
      </c>
      <c r="L30" s="13" t="str">
        <f>IF(Diagnostico!A30=$A30,"OK","DIVERGENTE — verificar linha "&amp;30)</f>
        <v>OK</v>
      </c>
    </row>
    <row r="31" spans="1:12" ht="15" customHeight="1" x14ac:dyDescent="0.35">
      <c r="A31" s="12">
        <v>3154150</v>
      </c>
      <c r="B31" s="12" t="s">
        <v>139</v>
      </c>
      <c r="C31" s="13" t="str">
        <f>IF(Base_SINISA_Agua!A31=$A31,"OK","DIVERGENTE — verificar linha "&amp;31)</f>
        <v>OK</v>
      </c>
      <c r="D31" s="13" t="str">
        <f>IF(Base_SINISA_Esgoto!A31=$A31,"OK","DIVERGENTE — verificar linha "&amp;31)</f>
        <v>OK</v>
      </c>
      <c r="E31" s="13" t="str">
        <f>IF(Base_Denominadores!A31=$A31,"OK","DIVERGENTE — verificar linha "&amp;31)</f>
        <v>OK</v>
      </c>
      <c r="F31" s="13" t="str">
        <f>IF(Sol_Alternativas!A31=$A31,"OK","DIVERGENTE — verificar linha "&amp;31)</f>
        <v>OK</v>
      </c>
      <c r="G31" s="13" t="str">
        <f>IF(Base_SINISA_2023!A31=$A31,"OK","DIVERGENTE — verificar linha "&amp;31)</f>
        <v>OK</v>
      </c>
      <c r="H31" s="13" t="str">
        <f>IF(Base_SINISA_Esgoto_2023!A31=$A31,"OK","DIVERGENTE — verificar linha "&amp;31)</f>
        <v>OK</v>
      </c>
      <c r="I31" s="13" t="str">
        <f>IF(Controle_Oficios!A31=$A31,"OK","DIVERGENTE — verificar linha "&amp;31)</f>
        <v>OK</v>
      </c>
      <c r="J31" s="13" t="str">
        <f>IF('Memoria de calculo - NR9'!A31=$A31,"OK","DIVERGENTE — verificar linha "&amp;31)</f>
        <v>OK</v>
      </c>
      <c r="K31" s="13" t="str">
        <f>IF(Resultados!A31=$A31,"OK","DIVERGENTE — verificar linha "&amp;31)</f>
        <v>OK</v>
      </c>
      <c r="L31" s="13" t="str">
        <f>IF(Diagnostico!A31=$A31,"OK","DIVERGENTE — verificar linha "&amp;31)</f>
        <v>OK</v>
      </c>
    </row>
    <row r="32" spans="1:12" ht="15" customHeight="1" x14ac:dyDescent="0.35">
      <c r="A32" s="12">
        <v>3165701</v>
      </c>
      <c r="B32" s="12" t="s">
        <v>141</v>
      </c>
      <c r="C32" s="13" t="str">
        <f>IF(Base_SINISA_Agua!A32=$A32,"OK","DIVERGENTE — verificar linha "&amp;32)</f>
        <v>OK</v>
      </c>
      <c r="D32" s="13" t="str">
        <f>IF(Base_SINISA_Esgoto!A32=$A32,"OK","DIVERGENTE — verificar linha "&amp;32)</f>
        <v>OK</v>
      </c>
      <c r="E32" s="13" t="str">
        <f>IF(Base_Denominadores!A32=$A32,"OK","DIVERGENTE — verificar linha "&amp;32)</f>
        <v>OK</v>
      </c>
      <c r="F32" s="13" t="str">
        <f>IF(Sol_Alternativas!A32=$A32,"OK","DIVERGENTE — verificar linha "&amp;32)</f>
        <v>OK</v>
      </c>
      <c r="G32" s="13" t="str">
        <f>IF(Base_SINISA_2023!A32=$A32,"OK","DIVERGENTE — verificar linha "&amp;32)</f>
        <v>OK</v>
      </c>
      <c r="H32" s="13" t="str">
        <f>IF(Base_SINISA_Esgoto_2023!A32=$A32,"OK","DIVERGENTE — verificar linha "&amp;32)</f>
        <v>OK</v>
      </c>
      <c r="I32" s="13" t="str">
        <f>IF(Controle_Oficios!A32=$A32,"OK","DIVERGENTE — verificar linha "&amp;32)</f>
        <v>OK</v>
      </c>
      <c r="J32" s="13" t="str">
        <f>IF('Memoria de calculo - NR9'!A32=$A32,"OK","DIVERGENTE — verificar linha "&amp;32)</f>
        <v>OK</v>
      </c>
      <c r="K32" s="13" t="str">
        <f>IF(Resultados!A32=$A32,"OK","DIVERGENTE — verificar linha "&amp;32)</f>
        <v>OK</v>
      </c>
      <c r="L32" s="13" t="str">
        <f>IF(Diagnostico!A32=$A32,"OK","DIVERGENTE — verificar linha "&amp;32)</f>
        <v>OK</v>
      </c>
    </row>
    <row r="33" spans="1:12" ht="15" customHeight="1" x14ac:dyDescent="0.35">
      <c r="A33" s="12">
        <v>3161403</v>
      </c>
      <c r="B33" s="12" t="s">
        <v>142</v>
      </c>
      <c r="C33" s="13" t="str">
        <f>IF(Base_SINISA_Agua!A33=$A33,"OK","DIVERGENTE — verificar linha "&amp;33)</f>
        <v>OK</v>
      </c>
      <c r="D33" s="13" t="str">
        <f>IF(Base_SINISA_Esgoto!A33=$A33,"OK","DIVERGENTE — verificar linha "&amp;33)</f>
        <v>OK</v>
      </c>
      <c r="E33" s="13" t="str">
        <f>IF(Base_Denominadores!A33=$A33,"OK","DIVERGENTE — verificar linha "&amp;33)</f>
        <v>OK</v>
      </c>
      <c r="F33" s="13" t="str">
        <f>IF(Sol_Alternativas!A33=$A33,"OK","DIVERGENTE — verificar linha "&amp;33)</f>
        <v>OK</v>
      </c>
      <c r="G33" s="13" t="str">
        <f>IF(Base_SINISA_2023!A33=$A33,"OK","DIVERGENTE — verificar linha "&amp;33)</f>
        <v>OK</v>
      </c>
      <c r="H33" s="13" t="str">
        <f>IF(Base_SINISA_Esgoto_2023!A33=$A33,"OK","DIVERGENTE — verificar linha "&amp;33)</f>
        <v>OK</v>
      </c>
      <c r="I33" s="13" t="str">
        <f>IF(Controle_Oficios!A33=$A33,"OK","DIVERGENTE — verificar linha "&amp;33)</f>
        <v>OK</v>
      </c>
      <c r="J33" s="13" t="str">
        <f>IF('Memoria de calculo - NR9'!A33=$A33,"OK","DIVERGENTE — verificar linha "&amp;33)</f>
        <v>OK</v>
      </c>
      <c r="K33" s="13" t="str">
        <f>IF(Resultados!A33=$A33,"OK","DIVERGENTE — verificar linha "&amp;33)</f>
        <v>OK</v>
      </c>
      <c r="L33" s="13" t="str">
        <f>IF(Diagnostico!A33=$A33,"OK","DIVERGENTE — verificar linha "&amp;33)</f>
        <v>OK</v>
      </c>
    </row>
    <row r="34" spans="1:12" ht="15" customHeight="1" x14ac:dyDescent="0.35">
      <c r="A34" s="12">
        <v>3168051</v>
      </c>
      <c r="B34" s="12" t="s">
        <v>144</v>
      </c>
      <c r="C34" s="13" t="str">
        <f>IF(Base_SINISA_Agua!A34=$A34,"OK","DIVERGENTE — verificar linha "&amp;34)</f>
        <v>OK</v>
      </c>
      <c r="D34" s="13" t="str">
        <f>IF(Base_SINISA_Esgoto!A34=$A34,"OK","DIVERGENTE — verificar linha "&amp;34)</f>
        <v>OK</v>
      </c>
      <c r="E34" s="13" t="str">
        <f>IF(Base_Denominadores!A34=$A34,"OK","DIVERGENTE — verificar linha "&amp;34)</f>
        <v>OK</v>
      </c>
      <c r="F34" s="13" t="str">
        <f>IF(Sol_Alternativas!A34=$A34,"OK","DIVERGENTE — verificar linha "&amp;34)</f>
        <v>OK</v>
      </c>
      <c r="G34" s="13" t="str">
        <f>IF(Base_SINISA_2023!A34=$A34,"OK","DIVERGENTE — verificar linha "&amp;34)</f>
        <v>OK</v>
      </c>
      <c r="H34" s="13" t="str">
        <f>IF(Base_SINISA_Esgoto_2023!A34=$A34,"OK","DIVERGENTE — verificar linha "&amp;34)</f>
        <v>OK</v>
      </c>
      <c r="I34" s="13" t="str">
        <f>IF(Controle_Oficios!A34=$A34,"OK","DIVERGENTE — verificar linha "&amp;34)</f>
        <v>OK</v>
      </c>
      <c r="J34" s="13" t="str">
        <f>IF('Memoria de calculo - NR9'!A34=$A34,"OK","DIVERGENTE — verificar linha "&amp;34)</f>
        <v>OK</v>
      </c>
      <c r="K34" s="13" t="str">
        <f>IF(Resultados!A34=$A34,"OK","DIVERGENTE — verificar linha "&amp;34)</f>
        <v>OK</v>
      </c>
      <c r="L34" s="13" t="str">
        <f>IF(Diagnostico!A34=$A34,"OK","DIVERGENTE — verificar linha "&amp;34)</f>
        <v>OK</v>
      </c>
    </row>
    <row r="35" spans="1:12" ht="15" customHeight="1" x14ac:dyDescent="0.35">
      <c r="A35" s="12">
        <v>3169000</v>
      </c>
      <c r="B35" s="12" t="s">
        <v>146</v>
      </c>
      <c r="C35" s="13" t="str">
        <f>IF(Base_SINISA_Agua!A35=$A35,"OK","DIVERGENTE — verificar linha "&amp;35)</f>
        <v>OK</v>
      </c>
      <c r="D35" s="13" t="str">
        <f>IF(Base_SINISA_Esgoto!A35=$A35,"OK","DIVERGENTE — verificar linha "&amp;35)</f>
        <v>OK</v>
      </c>
      <c r="E35" s="13" t="str">
        <f>IF(Base_Denominadores!A35=$A35,"OK","DIVERGENTE — verificar linha "&amp;35)</f>
        <v>OK</v>
      </c>
      <c r="F35" s="13" t="str">
        <f>IF(Sol_Alternativas!A35=$A35,"OK","DIVERGENTE — verificar linha "&amp;35)</f>
        <v>OK</v>
      </c>
      <c r="G35" s="13" t="str">
        <f>IF(Base_SINISA_2023!A35=$A35,"OK","DIVERGENTE — verificar linha "&amp;35)</f>
        <v>OK</v>
      </c>
      <c r="H35" s="13" t="str">
        <f>IF(Base_SINISA_Esgoto_2023!A35=$A35,"OK","DIVERGENTE — verificar linha "&amp;35)</f>
        <v>OK</v>
      </c>
      <c r="I35" s="13" t="str">
        <f>IF(Controle_Oficios!A35=$A35,"OK","DIVERGENTE — verificar linha "&amp;35)</f>
        <v>OK</v>
      </c>
      <c r="J35" s="13" t="str">
        <f>IF('Memoria de calculo - NR9'!A35=$A35,"OK","DIVERGENTE — verificar linha "&amp;35)</f>
        <v>OK</v>
      </c>
      <c r="K35" s="13" t="str">
        <f>IF(Resultados!A35=$A35,"OK","DIVERGENTE — verificar linha "&amp;35)</f>
        <v>OK</v>
      </c>
      <c r="L35" s="13" t="str">
        <f>IF(Diagnostico!A35=$A35,"OK","DIVERGENTE — verificar linha "&amp;35)</f>
        <v>OK</v>
      </c>
    </row>
    <row r="36" spans="1:12" ht="15" customHeight="1" x14ac:dyDescent="0.35">
      <c r="A36" s="12">
        <v>3169208</v>
      </c>
      <c r="B36" s="12" t="s">
        <v>148</v>
      </c>
      <c r="C36" s="13" t="str">
        <f>IF(Base_SINISA_Agua!A36=$A36,"OK","DIVERGENTE — verificar linha "&amp;36)</f>
        <v>OK</v>
      </c>
      <c r="D36" s="13" t="str">
        <f>IF(Base_SINISA_Esgoto!A36=$A36,"OK","DIVERGENTE — verificar linha "&amp;36)</f>
        <v>OK</v>
      </c>
      <c r="E36" s="13" t="str">
        <f>IF(Base_Denominadores!A36=$A36,"OK","DIVERGENTE — verificar linha "&amp;36)</f>
        <v>OK</v>
      </c>
      <c r="F36" s="13" t="str">
        <f>IF(Sol_Alternativas!A36=$A36,"OK","DIVERGENTE — verificar linha "&amp;36)</f>
        <v>OK</v>
      </c>
      <c r="G36" s="13" t="str">
        <f>IF(Base_SINISA_2023!A36=$A36,"OK","DIVERGENTE — verificar linha "&amp;36)</f>
        <v>OK</v>
      </c>
      <c r="H36" s="13" t="str">
        <f>IF(Base_SINISA_Esgoto_2023!A36=$A36,"OK","DIVERGENTE — verificar linha "&amp;36)</f>
        <v>OK</v>
      </c>
      <c r="I36" s="13" t="str">
        <f>IF(Controle_Oficios!A36=$A36,"OK","DIVERGENTE — verificar linha "&amp;36)</f>
        <v>OK</v>
      </c>
      <c r="J36" s="13" t="str">
        <f>IF('Memoria de calculo - NR9'!A36=$A36,"OK","DIVERGENTE — verificar linha "&amp;36)</f>
        <v>OK</v>
      </c>
      <c r="K36" s="13" t="str">
        <f>IF(Resultados!A36=$A36,"OK","DIVERGENTE — verificar linha "&amp;36)</f>
        <v>OK</v>
      </c>
      <c r="L36" s="13" t="str">
        <f>IF(Diagnostico!A36=$A36,"OK","DIVERGENTE — verificar linha "&amp;36)</f>
        <v>OK</v>
      </c>
    </row>
    <row r="37" spans="1:12" ht="15" customHeight="1" x14ac:dyDescent="0.35">
      <c r="A37" s="12">
        <v>3171154</v>
      </c>
      <c r="B37" s="12" t="s">
        <v>149</v>
      </c>
      <c r="C37" s="13" t="str">
        <f>IF(Base_SINISA_Agua!A37=$A37,"OK","DIVERGENTE — verificar linha "&amp;37)</f>
        <v>OK</v>
      </c>
      <c r="D37" s="13" t="str">
        <f>IF(Base_SINISA_Esgoto!A37=$A37,"OK","DIVERGENTE — verificar linha "&amp;37)</f>
        <v>OK</v>
      </c>
      <c r="E37" s="13" t="str">
        <f>IF(Base_Denominadores!A37=$A37,"OK","DIVERGENTE — verificar linha "&amp;37)</f>
        <v>OK</v>
      </c>
      <c r="F37" s="13" t="str">
        <f>IF(Sol_Alternativas!A37=$A37,"OK","DIVERGENTE — verificar linha "&amp;37)</f>
        <v>OK</v>
      </c>
      <c r="G37" s="13" t="str">
        <f>IF(Base_SINISA_2023!A37=$A37,"OK","DIVERGENTE — verificar linha "&amp;37)</f>
        <v>OK</v>
      </c>
      <c r="H37" s="13" t="str">
        <f>IF(Base_SINISA_Esgoto_2023!A37=$A37,"OK","DIVERGENTE — verificar linha "&amp;37)</f>
        <v>OK</v>
      </c>
      <c r="I37" s="13" t="str">
        <f>IF(Controle_Oficios!A37=$A37,"OK","DIVERGENTE — verificar linha "&amp;37)</f>
        <v>OK</v>
      </c>
      <c r="J37" s="13" t="str">
        <f>IF('Memoria de calculo - NR9'!A37=$A37,"OK","DIVERGENTE — verificar linha "&amp;37)</f>
        <v>OK</v>
      </c>
      <c r="K37" s="13" t="str">
        <f>IF(Resultados!A37=$A37,"OK","DIVERGENTE — verificar linha "&amp;37)</f>
        <v>OK</v>
      </c>
      <c r="L37" s="13" t="str">
        <f>IF(Diagnostico!A37=$A37,"OK","DIVERGENTE — verificar linha "&amp;37)</f>
        <v>OK</v>
      </c>
    </row>
    <row r="38" spans="1:12" ht="15" customHeight="1" x14ac:dyDescent="0.35">
      <c r="A38" s="12">
        <v>3171303</v>
      </c>
      <c r="B38" s="12" t="s">
        <v>150</v>
      </c>
      <c r="C38" s="13" t="str">
        <f>IF(Base_SINISA_Agua!A38=$A38,"OK","DIVERGENTE — verificar linha "&amp;38)</f>
        <v>OK</v>
      </c>
      <c r="D38" s="13" t="str">
        <f>IF(Base_SINISA_Esgoto!A38=$A38,"OK","DIVERGENTE — verificar linha "&amp;38)</f>
        <v>OK</v>
      </c>
      <c r="E38" s="13" t="str">
        <f>IF(Base_Denominadores!A38=$A38,"OK","DIVERGENTE — verificar linha "&amp;38)</f>
        <v>OK</v>
      </c>
      <c r="F38" s="13" t="str">
        <f>IF(Sol_Alternativas!A38=$A38,"OK","DIVERGENTE — verificar linha "&amp;38)</f>
        <v>OK</v>
      </c>
      <c r="G38" s="13" t="str">
        <f>IF(Base_SINISA_2023!A38=$A38,"OK","DIVERGENTE — verificar linha "&amp;38)</f>
        <v>OK</v>
      </c>
      <c r="H38" s="13" t="str">
        <f>IF(Base_SINISA_Esgoto_2023!A38=$A38,"OK","DIVERGENTE — verificar linha "&amp;38)</f>
        <v>OK</v>
      </c>
      <c r="I38" s="13" t="str">
        <f>IF(Controle_Oficios!A38=$A38,"OK","DIVERGENTE — verificar linha "&amp;38)</f>
        <v>OK</v>
      </c>
      <c r="J38" s="13" t="str">
        <f>IF('Memoria de calculo - NR9'!A38=$A38,"OK","DIVERGENTE — verificar linha "&amp;38)</f>
        <v>OK</v>
      </c>
      <c r="K38" s="13" t="str">
        <f>IF(Resultados!A38=$A38,"OK","DIVERGENTE — verificar linha "&amp;38)</f>
        <v>OK</v>
      </c>
      <c r="L38" s="13" t="str">
        <f>IF(Diagnostico!A38=$A38,"OK","DIVERGENTE — verificar linha "&amp;38)</f>
        <v>OK</v>
      </c>
    </row>
    <row r="39" spans="1:12" ht="15" customHeight="1" x14ac:dyDescent="0.35">
      <c r="A39" s="12">
        <v>3167202</v>
      </c>
      <c r="B39" s="12" t="s">
        <v>151</v>
      </c>
      <c r="C39" s="13" t="str">
        <f>IF(Base_SINISA_Agua!A39=$A39,"OK","DIVERGENTE — verificar linha "&amp;39)</f>
        <v>OK</v>
      </c>
      <c r="D39" s="13" t="str">
        <f>IF(Base_SINISA_Esgoto!A39=$A39,"OK","DIVERGENTE — verificar linha "&amp;39)</f>
        <v>OK</v>
      </c>
      <c r="E39" s="13" t="str">
        <f>IF(Base_Denominadores!A39=$A39,"OK","DIVERGENTE — verificar linha "&amp;39)</f>
        <v>OK</v>
      </c>
      <c r="F39" s="13" t="str">
        <f>IF(Sol_Alternativas!A39=$A39,"OK","DIVERGENTE — verificar linha "&amp;39)</f>
        <v>OK</v>
      </c>
      <c r="G39" s="13" t="str">
        <f>IF(Base_SINISA_2023!A39=$A39,"OK","DIVERGENTE — verificar linha "&amp;39)</f>
        <v>OK</v>
      </c>
      <c r="H39" s="13" t="str">
        <f>IF(Base_SINISA_Esgoto_2023!A39=$A39,"OK","DIVERGENTE — verificar linha "&amp;39)</f>
        <v>OK</v>
      </c>
      <c r="I39" s="13" t="str">
        <f>IF(Controle_Oficios!A39=$A39,"OK","DIVERGENTE — verificar linha "&amp;39)</f>
        <v>OK</v>
      </c>
      <c r="J39" s="13" t="str">
        <f>IF('Memoria de calculo - NR9'!A39=$A39,"OK","DIVERGENTE — verificar linha "&amp;39)</f>
        <v>OK</v>
      </c>
      <c r="K39" s="13" t="str">
        <f>IF(Resultados!A39=$A39,"OK","DIVERGENTE — verificar linha "&amp;39)</f>
        <v>OK</v>
      </c>
      <c r="L39" s="13" t="str">
        <f>IF(Diagnostico!A39=$A39,"OK","DIVERGENTE — verificar linha "&amp;39)</f>
        <v>OK</v>
      </c>
    </row>
    <row r="40" spans="1:12" ht="15" customHeight="1" x14ac:dyDescent="0.35">
      <c r="A40" s="12">
        <v>3146305</v>
      </c>
      <c r="B40" s="12" t="s">
        <v>153</v>
      </c>
      <c r="C40" s="13" t="str">
        <f>IF(Base_SINISA_Agua!A40=$A40,"OK","DIVERGENTE — verificar linha "&amp;40)</f>
        <v>OK</v>
      </c>
      <c r="D40" s="13" t="str">
        <f>IF(Base_SINISA_Esgoto!A40=$A40,"OK","DIVERGENTE — verificar linha "&amp;40)</f>
        <v>OK</v>
      </c>
      <c r="E40" s="13" t="str">
        <f>IF(Base_Denominadores!A40=$A40,"OK","DIVERGENTE — verificar linha "&amp;40)</f>
        <v>OK</v>
      </c>
      <c r="F40" s="13" t="str">
        <f>IF(Sol_Alternativas!A40=$A40,"OK","DIVERGENTE — verificar linha "&amp;40)</f>
        <v>OK</v>
      </c>
      <c r="G40" s="13" t="str">
        <f>IF(Base_SINISA_2023!A40=$A40,"OK","DIVERGENTE — verificar linha "&amp;40)</f>
        <v>OK</v>
      </c>
      <c r="H40" s="13" t="str">
        <f>IF(Base_SINISA_Esgoto_2023!A40=$A40,"OK","DIVERGENTE — verificar linha "&amp;40)</f>
        <v>OK</v>
      </c>
      <c r="I40" s="13" t="str">
        <f>IF(Controle_Oficios!A40=$A40,"OK","DIVERGENTE — verificar linha "&amp;40)</f>
        <v>OK</v>
      </c>
      <c r="J40" s="13" t="str">
        <f>IF('Memoria de calculo - NR9'!A40=$A40,"OK","DIVERGENTE — verificar linha "&amp;40)</f>
        <v>OK</v>
      </c>
      <c r="K40" s="13" t="str">
        <f>IF(Resultados!A40=$A40,"OK","DIVERGENTE — verificar linha "&amp;40)</f>
        <v>OK</v>
      </c>
      <c r="L40" s="13" t="str">
        <f>IF(Diagnostico!A40=$A40,"OK","DIVERGENTE — verificar linha "&amp;40)</f>
        <v>OK</v>
      </c>
    </row>
    <row r="41" spans="1:12" ht="15" customHeight="1" x14ac:dyDescent="0.35">
      <c r="A41" s="12">
        <v>3120607</v>
      </c>
      <c r="B41" s="12" t="s">
        <v>155</v>
      </c>
      <c r="C41" s="13" t="str">
        <f>IF(Base_SINISA_Agua!A41=$A41,"OK","DIVERGENTE — verificar linha "&amp;41)</f>
        <v>OK</v>
      </c>
      <c r="D41" s="13" t="str">
        <f>IF(Base_SINISA_Esgoto!A41=$A41,"OK","DIVERGENTE — verificar linha "&amp;41)</f>
        <v>OK</v>
      </c>
      <c r="E41" s="13" t="str">
        <f>IF(Base_Denominadores!A41=$A41,"OK","DIVERGENTE — verificar linha "&amp;41)</f>
        <v>OK</v>
      </c>
      <c r="F41" s="13" t="str">
        <f>IF(Sol_Alternativas!A41=$A41,"OK","DIVERGENTE — verificar linha "&amp;41)</f>
        <v>OK</v>
      </c>
      <c r="G41" s="13" t="str">
        <f>IF(Base_SINISA_2023!A41=$A41,"OK","DIVERGENTE — verificar linha "&amp;41)</f>
        <v>OK</v>
      </c>
      <c r="H41" s="13" t="str">
        <f>IF(Base_SINISA_Esgoto_2023!A41=$A41,"OK","DIVERGENTE — verificar linha "&amp;41)</f>
        <v>OK</v>
      </c>
      <c r="I41" s="13" t="str">
        <f>IF(Controle_Oficios!A41=$A41,"OK","DIVERGENTE — verificar linha "&amp;41)</f>
        <v>OK</v>
      </c>
      <c r="J41" s="13" t="str">
        <f>IF('Memoria de calculo - NR9'!A41=$A41,"OK","DIVERGENTE — verificar linha "&amp;41)</f>
        <v>OK</v>
      </c>
      <c r="K41" s="13" t="str">
        <f>IF(Resultados!A41=$A41,"OK","DIVERGENTE — verificar linha "&amp;41)</f>
        <v>OK</v>
      </c>
      <c r="L41" s="13" t="str">
        <f>IF(Diagnostico!A41=$A41,"OK","DIVERGENTE — verificar linha "&amp;41)</f>
        <v>OK</v>
      </c>
    </row>
    <row r="42" spans="1:12" ht="15" customHeight="1" x14ac:dyDescent="0.35">
      <c r="A42" s="12">
        <v>3115706</v>
      </c>
      <c r="B42" s="12" t="s">
        <v>157</v>
      </c>
      <c r="C42" s="13" t="str">
        <f>IF(Base_SINISA_Agua!A42=$A42,"OK","DIVERGENTE — verificar linha "&amp;42)</f>
        <v>OK</v>
      </c>
      <c r="D42" s="13" t="str">
        <f>IF(Base_SINISA_Esgoto!A42=$A42,"OK","DIVERGENTE — verificar linha "&amp;42)</f>
        <v>OK</v>
      </c>
      <c r="E42" s="13" t="str">
        <f>IF(Base_Denominadores!A42=$A42,"OK","DIVERGENTE — verificar linha "&amp;42)</f>
        <v>OK</v>
      </c>
      <c r="F42" s="13" t="str">
        <f>IF(Sol_Alternativas!A42=$A42,"OK","DIVERGENTE — verificar linha "&amp;42)</f>
        <v>OK</v>
      </c>
      <c r="G42" s="13" t="str">
        <f>IF(Base_SINISA_2023!A42=$A42,"OK","DIVERGENTE — verificar linha "&amp;42)</f>
        <v>OK</v>
      </c>
      <c r="H42" s="13" t="str">
        <f>IF(Base_SINISA_Esgoto_2023!A42=$A42,"OK","DIVERGENTE — verificar linha "&amp;42)</f>
        <v>OK</v>
      </c>
      <c r="I42" s="13" t="str">
        <f>IF(Controle_Oficios!A42=$A42,"OK","DIVERGENTE — verificar linha "&amp;42)</f>
        <v>OK</v>
      </c>
      <c r="J42" s="13" t="str">
        <f>IF('Memoria de calculo - NR9'!A42=$A42,"OK","DIVERGENTE — verificar linha "&amp;42)</f>
        <v>OK</v>
      </c>
      <c r="K42" s="13" t="str">
        <f>IF(Resultados!A42=$A42,"OK","DIVERGENTE — verificar linha "&amp;42)</f>
        <v>OK</v>
      </c>
      <c r="L42" s="13" t="str">
        <f>IF(Diagnostico!A42=$A42,"OK","DIVERGENTE — verificar linha "&amp;42)</f>
        <v>OK</v>
      </c>
    </row>
    <row r="44" spans="1:12" ht="15" customHeight="1" x14ac:dyDescent="0.35">
      <c r="A44" s="7" t="s">
        <v>427</v>
      </c>
      <c r="C44" s="25">
        <f>SUMPRODUCT((C3:L42&lt;&gt;"OK")*1)</f>
        <v>0</v>
      </c>
    </row>
    <row r="46" spans="1:12" ht="75" customHeight="1" x14ac:dyDescent="0.35">
      <c r="A46" s="1" t="s">
        <v>428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</sheetData>
  <mergeCells count="1">
    <mergeCell ref="A46:L46"/>
  </mergeCells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45"/>
  <sheetViews>
    <sheetView zoomScaleNormal="100" workbookViewId="0">
      <selection activeCell="B2" sqref="B2"/>
    </sheetView>
  </sheetViews>
  <sheetFormatPr defaultColWidth="8.6328125" defaultRowHeight="14.5" x14ac:dyDescent="0.35"/>
  <cols>
    <col min="1" max="1" width="3" customWidth="1"/>
    <col min="2" max="2" width="126.1796875" customWidth="1"/>
  </cols>
  <sheetData>
    <row r="2" spans="2:2" ht="27.75" customHeight="1" x14ac:dyDescent="0.35">
      <c r="B2" s="3" t="s">
        <v>429</v>
      </c>
    </row>
    <row r="3" spans="2:2" ht="13.5" customHeight="1" x14ac:dyDescent="0.35">
      <c r="B3" s="4"/>
    </row>
    <row r="4" spans="2:2" ht="27.75" customHeight="1" x14ac:dyDescent="0.35">
      <c r="B4" s="5" t="s">
        <v>0</v>
      </c>
    </row>
    <row r="5" spans="2:2" ht="30" customHeight="1" x14ac:dyDescent="0.35">
      <c r="B5" s="4" t="s">
        <v>1</v>
      </c>
    </row>
    <row r="6" spans="2:2" ht="27.75" customHeight="1" x14ac:dyDescent="0.35">
      <c r="B6" s="5" t="s">
        <v>2</v>
      </c>
    </row>
    <row r="7" spans="2:2" ht="30" customHeight="1" x14ac:dyDescent="0.35">
      <c r="B7" s="4" t="s">
        <v>3</v>
      </c>
    </row>
    <row r="8" spans="2:2" ht="30" customHeight="1" x14ac:dyDescent="0.35">
      <c r="B8" s="4" t="s">
        <v>4</v>
      </c>
    </row>
    <row r="9" spans="2:2" ht="30" customHeight="1" x14ac:dyDescent="0.35">
      <c r="B9" s="4" t="s">
        <v>5</v>
      </c>
    </row>
    <row r="10" spans="2:2" ht="30" customHeight="1" x14ac:dyDescent="0.35">
      <c r="B10" s="4" t="s">
        <v>6</v>
      </c>
    </row>
    <row r="11" spans="2:2" ht="30" customHeight="1" x14ac:dyDescent="0.35">
      <c r="B11" s="4" t="s">
        <v>7</v>
      </c>
    </row>
    <row r="12" spans="2:2" ht="30" customHeight="1" x14ac:dyDescent="0.35">
      <c r="B12" s="4" t="s">
        <v>8</v>
      </c>
    </row>
    <row r="13" spans="2:2" ht="30" customHeight="1" x14ac:dyDescent="0.35">
      <c r="B13" s="4" t="s">
        <v>9</v>
      </c>
    </row>
    <row r="14" spans="2:2" ht="27.75" customHeight="1" x14ac:dyDescent="0.35">
      <c r="B14" s="5" t="s">
        <v>10</v>
      </c>
    </row>
    <row r="15" spans="2:2" ht="30" customHeight="1" x14ac:dyDescent="0.35">
      <c r="B15" s="4" t="s">
        <v>11</v>
      </c>
    </row>
    <row r="16" spans="2:2" ht="30" customHeight="1" x14ac:dyDescent="0.35">
      <c r="B16" s="4" t="s">
        <v>12</v>
      </c>
    </row>
    <row r="17" spans="2:2" ht="30" customHeight="1" x14ac:dyDescent="0.35">
      <c r="B17" s="4" t="s">
        <v>13</v>
      </c>
    </row>
    <row r="18" spans="2:2" ht="27.75" customHeight="1" x14ac:dyDescent="0.35">
      <c r="B18" s="5" t="s">
        <v>14</v>
      </c>
    </row>
    <row r="19" spans="2:2" ht="30" customHeight="1" x14ac:dyDescent="0.35">
      <c r="B19" s="4" t="s">
        <v>15</v>
      </c>
    </row>
    <row r="20" spans="2:2" ht="27.75" customHeight="1" x14ac:dyDescent="0.35">
      <c r="B20" s="5" t="s">
        <v>16</v>
      </c>
    </row>
    <row r="21" spans="2:2" ht="30" customHeight="1" x14ac:dyDescent="0.35">
      <c r="B21" s="4" t="s">
        <v>17</v>
      </c>
    </row>
    <row r="22" spans="2:2" ht="27.75" customHeight="1" x14ac:dyDescent="0.35">
      <c r="B22" s="5" t="s">
        <v>18</v>
      </c>
    </row>
    <row r="23" spans="2:2" ht="30" customHeight="1" x14ac:dyDescent="0.35">
      <c r="B23" s="4" t="s">
        <v>19</v>
      </c>
    </row>
    <row r="24" spans="2:2" ht="30" customHeight="1" x14ac:dyDescent="0.35">
      <c r="B24" s="4" t="s">
        <v>20</v>
      </c>
    </row>
    <row r="25" spans="2:2" ht="27.75" customHeight="1" x14ac:dyDescent="0.35">
      <c r="B25" s="5" t="s">
        <v>21</v>
      </c>
    </row>
    <row r="26" spans="2:2" ht="30" customHeight="1" x14ac:dyDescent="0.35">
      <c r="B26" s="4" t="s">
        <v>22</v>
      </c>
    </row>
    <row r="27" spans="2:2" ht="27.75" customHeight="1" x14ac:dyDescent="0.35">
      <c r="B27" s="5" t="s">
        <v>23</v>
      </c>
    </row>
    <row r="28" spans="2:2" ht="30" customHeight="1" x14ac:dyDescent="0.35">
      <c r="B28" s="4" t="s">
        <v>24</v>
      </c>
    </row>
    <row r="29" spans="2:2" ht="30" customHeight="1" x14ac:dyDescent="0.35">
      <c r="B29" s="4" t="s">
        <v>25</v>
      </c>
    </row>
    <row r="30" spans="2:2" ht="30" customHeight="1" x14ac:dyDescent="0.35">
      <c r="B30" s="4" t="s">
        <v>26</v>
      </c>
    </row>
    <row r="31" spans="2:2" ht="30" customHeight="1" x14ac:dyDescent="0.35">
      <c r="B31" s="4" t="s">
        <v>27</v>
      </c>
    </row>
    <row r="32" spans="2:2" ht="27.75" customHeight="1" x14ac:dyDescent="0.35">
      <c r="B32" s="5" t="s">
        <v>28</v>
      </c>
    </row>
    <row r="33" spans="2:2" ht="30" customHeight="1" x14ac:dyDescent="0.35">
      <c r="B33" s="4" t="s">
        <v>29</v>
      </c>
    </row>
    <row r="34" spans="2:2" ht="30" customHeight="1" x14ac:dyDescent="0.35">
      <c r="B34" s="4" t="s">
        <v>30</v>
      </c>
    </row>
    <row r="35" spans="2:2" ht="30" customHeight="1" x14ac:dyDescent="0.35">
      <c r="B35" s="4" t="s">
        <v>31</v>
      </c>
    </row>
    <row r="36" spans="2:2" ht="27.75" customHeight="1" x14ac:dyDescent="0.35">
      <c r="B36" s="5" t="s">
        <v>32</v>
      </c>
    </row>
    <row r="37" spans="2:2" ht="30" customHeight="1" x14ac:dyDescent="0.35">
      <c r="B37" s="4" t="s">
        <v>33</v>
      </c>
    </row>
    <row r="38" spans="2:2" ht="30" customHeight="1" x14ac:dyDescent="0.35">
      <c r="B38" s="4" t="s">
        <v>34</v>
      </c>
    </row>
    <row r="39" spans="2:2" ht="27.75" customHeight="1" x14ac:dyDescent="0.35">
      <c r="B39" s="5" t="s">
        <v>35</v>
      </c>
    </row>
    <row r="40" spans="2:2" ht="30" customHeight="1" x14ac:dyDescent="0.35">
      <c r="B40" s="4" t="s">
        <v>36</v>
      </c>
    </row>
    <row r="42" spans="2:2" x14ac:dyDescent="0.35">
      <c r="B42" s="5" t="s">
        <v>37</v>
      </c>
    </row>
    <row r="43" spans="2:2" ht="62.5" x14ac:dyDescent="0.35">
      <c r="B43" s="4" t="s">
        <v>38</v>
      </c>
    </row>
    <row r="44" spans="2:2" ht="50" x14ac:dyDescent="0.35">
      <c r="B44" s="4" t="s">
        <v>39</v>
      </c>
    </row>
    <row r="45" spans="2:2" ht="100" x14ac:dyDescent="0.35">
      <c r="B45" s="4" t="s">
        <v>40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172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6328125" defaultRowHeight="14.5" x14ac:dyDescent="0.35"/>
  <cols>
    <col min="1" max="1" width="24" customWidth="1"/>
    <col min="2" max="5" width="17" customWidth="1"/>
    <col min="6" max="6" width="15" customWidth="1"/>
    <col min="7" max="7" width="17" customWidth="1"/>
    <col min="8" max="8" width="12" customWidth="1"/>
    <col min="9" max="9" width="13" customWidth="1"/>
    <col min="10" max="10" width="38" customWidth="1"/>
    <col min="11" max="11" width="42" customWidth="1"/>
  </cols>
  <sheetData>
    <row r="2" spans="1:11" ht="33.75" customHeight="1" x14ac:dyDescent="0.35">
      <c r="A2" s="2" t="s">
        <v>221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45.75" customHeight="1" x14ac:dyDescent="0.35">
      <c r="A3" s="20" t="s">
        <v>64</v>
      </c>
      <c r="B3" s="20" t="s">
        <v>222</v>
      </c>
      <c r="C3" s="20" t="s">
        <v>223</v>
      </c>
      <c r="D3" s="20" t="s">
        <v>224</v>
      </c>
      <c r="E3" s="20" t="s">
        <v>225</v>
      </c>
      <c r="F3" s="20" t="s">
        <v>226</v>
      </c>
      <c r="G3" s="20" t="s">
        <v>227</v>
      </c>
      <c r="H3" s="20" t="s">
        <v>228</v>
      </c>
      <c r="I3" s="20" t="s">
        <v>229</v>
      </c>
      <c r="J3" s="20" t="s">
        <v>230</v>
      </c>
      <c r="K3" s="20" t="s">
        <v>231</v>
      </c>
    </row>
    <row r="4" spans="1:11" ht="15" customHeight="1" x14ac:dyDescent="0.35">
      <c r="A4" s="12" t="s">
        <v>94</v>
      </c>
      <c r="B4" s="12">
        <f>Base_SINISA_Agua!E3</f>
        <v>3215</v>
      </c>
      <c r="C4" s="13">
        <f>Base_SINISA_Agua!F3</f>
        <v>0</v>
      </c>
      <c r="D4" s="13">
        <f>Sol_Alternativas!N3</f>
        <v>0</v>
      </c>
      <c r="E4" s="13">
        <f>Sol_Alternativas!O3</f>
        <v>0</v>
      </c>
      <c r="F4" s="13">
        <f t="shared" ref="F4:F43" si="0">SUM(B4:E4)</f>
        <v>3215</v>
      </c>
      <c r="G4" s="13">
        <f>Base_Denominadores!C3</f>
        <v>5039</v>
      </c>
      <c r="H4" s="21">
        <f>IF(OR(Base_SINISA_Agua!$C3="Ausente",G4="",G4=0),"n.c.",F4/G4)</f>
        <v>0.63802341734471124</v>
      </c>
      <c r="I4" s="13" t="str">
        <f>IF(Base_SINISA_Agua!$C3="Ausente","Insatisfatório – prestador ausente",IF(OR(G4="",G4=0),"Não calculado – denominador ausente",IF(OR(Base_SINISA_Agua!$AD3="Inconsistente – residencial&gt;total",Base_SINISA_Agua!$AE3="Inconsistente – residencial&gt;total"),"Calculado com ressalva grave – inconsistência residencial/total na fonte",IF(COUNTBLANK(Base_SINISA_Agua!E3:F3)&gt;0,"Calculado com ressalva – parcela ausente = zero","Calculado"))))</f>
        <v>Calculado</v>
      </c>
      <c r="J4" s="13" t="str">
        <f t="shared" ref="J4:J43" si="1">IF(I4="Calculado","Sim","Não")</f>
        <v>Sim</v>
      </c>
      <c r="K4" s="13" t="str">
        <f>IF(AND(ISNUMBER(H4),H4&gt;1),"Resultado &gt;100% — indício de incompatibilidade numerador/denominador; ressalva de consistência, cálculo mantido. ","")&amp;IF(Sol_Alternativas!$J3="Sim","Água urbana validada e computada.","Água urbana não validada.")&amp;" "&amp;IF(Sol_Alternativas!$K3="Sim","Água rural validada e computada.","Água rural não validada.")</f>
        <v>Água urbana não validada. Água rural não validada.</v>
      </c>
    </row>
    <row r="5" spans="1:11" ht="15" customHeight="1" x14ac:dyDescent="0.35">
      <c r="A5" s="12" t="s">
        <v>97</v>
      </c>
      <c r="B5" s="12">
        <f>Base_SINISA_Agua!E4</f>
        <v>1260</v>
      </c>
      <c r="C5" s="13">
        <f>Base_SINISA_Agua!F4</f>
        <v>725</v>
      </c>
      <c r="D5" s="13">
        <f>Sol_Alternativas!N4</f>
        <v>0</v>
      </c>
      <c r="E5" s="13">
        <f>Sol_Alternativas!O4</f>
        <v>0</v>
      </c>
      <c r="F5" s="13">
        <f t="shared" si="0"/>
        <v>1985</v>
      </c>
      <c r="G5" s="13">
        <f>Base_Denominadores!C4</f>
        <v>1543</v>
      </c>
      <c r="H5" s="21">
        <f>IF(OR(Base_SINISA_Agua!$C4="Ausente",G5="",G5=0),"n.c.",F5/G5)</f>
        <v>1.286454957874271</v>
      </c>
      <c r="I5" s="13" t="str">
        <f>IF(Base_SINISA_Agua!$C4="Ausente","Insatisfatório – prestador ausente",IF(OR(G5="",G5=0),"Não calculado – denominador ausente",IF(OR(Base_SINISA_Agua!$AD4="Inconsistente – residencial&gt;total",Base_SINISA_Agua!$AE4="Inconsistente – residencial&gt;total"),"Calculado com ressalva grave – inconsistência residencial/total na fonte",IF(COUNTBLANK(Base_SINISA_Agua!E4:F4)&gt;0,"Calculado com ressalva – parcela ausente = zero","Calculado"))))</f>
        <v>Calculado</v>
      </c>
      <c r="J5" s="13" t="str">
        <f t="shared" si="1"/>
        <v>Sim</v>
      </c>
      <c r="K5" s="13" t="str">
        <f>IF(AND(ISNUMBER(H5),H5&gt;1),"Resultado &gt;100% — indício de incompatibilidade numerador/denominador; ressalva de consistência, cálculo mantido. ","")&amp;IF(Sol_Alternativas!$J4="Sim","Água urbana validada e computada.","Água urbana não validada.")&amp;" "&amp;IF(Sol_Alternativas!$K4="Sim","Água rural validada e computada.","Água rural não validada.")</f>
        <v>Resultado &gt;100% — indício de incompatibilidade numerador/denominador; ressalva de consistência, cálculo mantido. Água urbana não validada. Água rural não validada.</v>
      </c>
    </row>
    <row r="6" spans="1:11" ht="15" customHeight="1" x14ac:dyDescent="0.35">
      <c r="A6" s="12" t="s">
        <v>99</v>
      </c>
      <c r="B6" s="12">
        <f>Base_SINISA_Agua!E5</f>
        <v>6379</v>
      </c>
      <c r="C6" s="13">
        <f>Base_SINISA_Agua!F5</f>
        <v>2546</v>
      </c>
      <c r="D6" s="13">
        <f>Sol_Alternativas!N5</f>
        <v>0</v>
      </c>
      <c r="E6" s="13">
        <f>Sol_Alternativas!O5</f>
        <v>0</v>
      </c>
      <c r="F6" s="13">
        <f t="shared" si="0"/>
        <v>8925</v>
      </c>
      <c r="G6" s="13">
        <f>Base_Denominadores!C5</f>
        <v>9873</v>
      </c>
      <c r="H6" s="21">
        <f>IF(OR(Base_SINISA_Agua!$C5="Ausente",G6="",G6=0),"n.c.",F6/G6)</f>
        <v>0.90398055302339719</v>
      </c>
      <c r="I6" s="13" t="str">
        <f>IF(Base_SINISA_Agua!$C5="Ausente","Insatisfatório – prestador ausente",IF(OR(G6="",G6=0),"Não calculado – denominador ausente",IF(OR(Base_SINISA_Agua!$AD5="Inconsistente – residencial&gt;total",Base_SINISA_Agua!$AE5="Inconsistente – residencial&gt;total"),"Calculado com ressalva grave – inconsistência residencial/total na fonte",IF(COUNTBLANK(Base_SINISA_Agua!E5:F5)&gt;0,"Calculado com ressalva – parcela ausente = zero","Calculado"))))</f>
        <v>Calculado</v>
      </c>
      <c r="J6" s="13" t="str">
        <f t="shared" si="1"/>
        <v>Sim</v>
      </c>
      <c r="K6" s="13" t="str">
        <f>IF(AND(ISNUMBER(H6),H6&gt;1),"Resultado &gt;100% — indício de incompatibilidade numerador/denominador; ressalva de consistência, cálculo mantido. ","")&amp;IF(Sol_Alternativas!$J5="Sim","Água urbana validada e computada.","Água urbana não validada.")&amp;" "&amp;IF(Sol_Alternativas!$K5="Sim","Água rural validada e computada.","Água rural não validada.")</f>
        <v>Água urbana não validada. Água rural não validada.</v>
      </c>
    </row>
    <row r="7" spans="1:11" ht="15" customHeight="1" x14ac:dyDescent="0.35">
      <c r="A7" s="12" t="s">
        <v>100</v>
      </c>
      <c r="B7" s="12">
        <f>Base_SINISA_Agua!E6</f>
        <v>1000</v>
      </c>
      <c r="C7" s="13">
        <f>Base_SINISA_Agua!F6</f>
        <v>0</v>
      </c>
      <c r="D7" s="13">
        <f>Sol_Alternativas!N6</f>
        <v>0</v>
      </c>
      <c r="E7" s="13">
        <f>Sol_Alternativas!O6</f>
        <v>0</v>
      </c>
      <c r="F7" s="13">
        <f t="shared" si="0"/>
        <v>1000</v>
      </c>
      <c r="G7" s="13">
        <f>Base_Denominadores!C6</f>
        <v>0</v>
      </c>
      <c r="H7" s="21" t="str">
        <f>IF(OR(Base_SINISA_Agua!$C6="Ausente",G7="",G7=0),"n.c.",F7/G7)</f>
        <v>n.c.</v>
      </c>
      <c r="I7" s="13" t="str">
        <f>IF(Base_SINISA_Agua!$C6="Ausente","Insatisfatório – prestador ausente",IF(OR(G7="",G7=0),"Não calculado – denominador ausente",IF(OR(Base_SINISA_Agua!$AD6="Inconsistente – residencial&gt;total",Base_SINISA_Agua!$AE6="Inconsistente – residencial&gt;total"),"Calculado com ressalva grave – inconsistência residencial/total na fonte",IF(COUNTBLANK(Base_SINISA_Agua!E6:F6)&gt;0,"Calculado com ressalva – parcela ausente = zero","Calculado"))))</f>
        <v>Não calculado – denominador ausente</v>
      </c>
      <c r="J7" s="13" t="str">
        <f t="shared" si="1"/>
        <v>Não</v>
      </c>
      <c r="K7" s="13" t="str">
        <f>IF(AND(ISNUMBER(H7),H7&gt;1),"Resultado &gt;100% — indício de incompatibilidade numerador/denominador; ressalva de consistência, cálculo mantido. ","")&amp;IF(Sol_Alternativas!$J6="Sim","Água urbana validada e computada.","Água urbana não validada.")&amp;" "&amp;IF(Sol_Alternativas!$K6="Sim","Água rural validada e computada.","Água rural não validada.")</f>
        <v>Água urbana não validada. Água rural não validada.</v>
      </c>
    </row>
    <row r="8" spans="1:11" ht="15" customHeight="1" x14ac:dyDescent="0.35">
      <c r="A8" s="12" t="s">
        <v>102</v>
      </c>
      <c r="B8" s="12">
        <f>Base_SINISA_Agua!E7</f>
        <v>646</v>
      </c>
      <c r="C8" s="13">
        <f>Base_SINISA_Agua!F7</f>
        <v>426</v>
      </c>
      <c r="D8" s="13">
        <f>Sol_Alternativas!N7</f>
        <v>0</v>
      </c>
      <c r="E8" s="13">
        <f>Sol_Alternativas!O7</f>
        <v>0</v>
      </c>
      <c r="F8" s="13">
        <f t="shared" si="0"/>
        <v>1072</v>
      </c>
      <c r="G8" s="13">
        <f>Base_Denominadores!C7</f>
        <v>1057</v>
      </c>
      <c r="H8" s="21">
        <f>IF(OR(Base_SINISA_Agua!$C7="Ausente",G8="",G8=0),"n.c.",F8/G8)</f>
        <v>1.0141911069063387</v>
      </c>
      <c r="I8" s="13" t="str">
        <f>IF(Base_SINISA_Agua!$C7="Ausente","Insatisfatório – prestador ausente",IF(OR(G8="",G8=0),"Não calculado – denominador ausente",IF(OR(Base_SINISA_Agua!$AD7="Inconsistente – residencial&gt;total",Base_SINISA_Agua!$AE7="Inconsistente – residencial&gt;total"),"Calculado com ressalva grave – inconsistência residencial/total na fonte",IF(COUNTBLANK(Base_SINISA_Agua!E7:F7)&gt;0,"Calculado com ressalva – parcela ausente = zero","Calculado"))))</f>
        <v>Calculado</v>
      </c>
      <c r="J8" s="13" t="str">
        <f t="shared" si="1"/>
        <v>Sim</v>
      </c>
      <c r="K8" s="13" t="str">
        <f>IF(AND(ISNUMBER(H8),H8&gt;1),"Resultado &gt;100% — indício de incompatibilidade numerador/denominador; ressalva de consistência, cálculo mantido. ","")&amp;IF(Sol_Alternativas!$J7="Sim","Água urbana validada e computada.","Água urbana não validada.")&amp;" "&amp;IF(Sol_Alternativas!$K7="Sim","Água rural validada e computada.","Água rural não validada.")</f>
        <v>Resultado &gt;100% — indício de incompatibilidade numerador/denominador; ressalva de consistência, cálculo mantido. Água urbana não validada. Água rural não validada.</v>
      </c>
    </row>
    <row r="9" spans="1:11" ht="15" customHeight="1" x14ac:dyDescent="0.35">
      <c r="A9" s="12" t="s">
        <v>104</v>
      </c>
      <c r="B9" s="12">
        <f>Base_SINISA_Agua!E8</f>
        <v>11663</v>
      </c>
      <c r="C9" s="13">
        <f>Base_SINISA_Agua!F8</f>
        <v>0</v>
      </c>
      <c r="D9" s="13">
        <f>Sol_Alternativas!N8</f>
        <v>0</v>
      </c>
      <c r="E9" s="13">
        <f>Sol_Alternativas!O8</f>
        <v>0</v>
      </c>
      <c r="F9" s="13">
        <f t="shared" si="0"/>
        <v>11663</v>
      </c>
      <c r="G9" s="13">
        <f>Base_Denominadores!C8</f>
        <v>12515</v>
      </c>
      <c r="H9" s="21">
        <f>IF(OR(Base_SINISA_Agua!$C8="Ausente",G9="",G9=0),"n.c.",F9/G9)</f>
        <v>0.93192169396723934</v>
      </c>
      <c r="I9" s="13" t="str">
        <f>IF(Base_SINISA_Agua!$C8="Ausente","Insatisfatório – prestador ausente",IF(OR(G9="",G9=0),"Não calculado – denominador ausente",IF(OR(Base_SINISA_Agua!$AD8="Inconsistente – residencial&gt;total",Base_SINISA_Agua!$AE8="Inconsistente – residencial&gt;total"),"Calculado com ressalva grave – inconsistência residencial/total na fonte",IF(COUNTBLANK(Base_SINISA_Agua!E8:F8)&gt;0,"Calculado com ressalva – parcela ausente = zero","Calculado"))))</f>
        <v>Calculado</v>
      </c>
      <c r="J9" s="13" t="str">
        <f t="shared" si="1"/>
        <v>Sim</v>
      </c>
      <c r="K9" s="13" t="str">
        <f>IF(AND(ISNUMBER(H9),H9&gt;1),"Resultado &gt;100% — indício de incompatibilidade numerador/denominador; ressalva de consistência, cálculo mantido. ","")&amp;IF(Sol_Alternativas!$J8="Sim","Água urbana validada e computada.","Água urbana não validada.")&amp;" "&amp;IF(Sol_Alternativas!$K8="Sim","Água rural validada e computada.","Água rural não validada.")</f>
        <v>Água urbana não validada. Água rural não validada.</v>
      </c>
    </row>
    <row r="10" spans="1:11" ht="15" customHeight="1" x14ac:dyDescent="0.35">
      <c r="A10" s="12" t="s">
        <v>106</v>
      </c>
      <c r="B10" s="12">
        <f>Base_SINISA_Agua!E9</f>
        <v>0</v>
      </c>
      <c r="C10" s="13">
        <f>Base_SINISA_Agua!F9</f>
        <v>0</v>
      </c>
      <c r="D10" s="13">
        <f>Sol_Alternativas!N9</f>
        <v>0</v>
      </c>
      <c r="E10" s="13">
        <f>Sol_Alternativas!O9</f>
        <v>0</v>
      </c>
      <c r="F10" s="13">
        <f t="shared" si="0"/>
        <v>0</v>
      </c>
      <c r="G10" s="13">
        <f>Base_Denominadores!C9</f>
        <v>2293</v>
      </c>
      <c r="H10" s="21" t="str">
        <f>IF(OR(Base_SINISA_Agua!$C9="Ausente",G10="",G10=0),"n.c.",F10/G10)</f>
        <v>n.c.</v>
      </c>
      <c r="I10" s="13" t="str">
        <f>IF(Base_SINISA_Agua!$C9="Ausente","Insatisfatório – prestador ausente",IF(OR(G10="",G10=0),"Não calculado – denominador ausente",IF(OR(Base_SINISA_Agua!$AD9="Inconsistente – residencial&gt;total",Base_SINISA_Agua!$AE9="Inconsistente – residencial&gt;total"),"Calculado com ressalva grave – inconsistência residencial/total na fonte",IF(COUNTBLANK(Base_SINISA_Agua!E9:F9)&gt;0,"Calculado com ressalva – parcela ausente = zero","Calculado"))))</f>
        <v>Insatisfatório – prestador ausente</v>
      </c>
      <c r="J10" s="13" t="str">
        <f t="shared" si="1"/>
        <v>Não</v>
      </c>
      <c r="K10" s="13" t="str">
        <f>IF(AND(ISNUMBER(H10),H10&gt;1),"Resultado &gt;100% — indício de incompatibilidade numerador/denominador; ressalva de consistência, cálculo mantido. ","")&amp;IF(Sol_Alternativas!$J9="Sim","Água urbana validada e computada.","Água urbana não validada.")&amp;" "&amp;IF(Sol_Alternativas!$K9="Sim","Água rural validada e computada.","Água rural não validada.")</f>
        <v>Água urbana não validada. Água rural não validada.</v>
      </c>
    </row>
    <row r="11" spans="1:11" ht="15" customHeight="1" x14ac:dyDescent="0.35">
      <c r="A11" s="12" t="s">
        <v>108</v>
      </c>
      <c r="B11" s="12">
        <f>Base_SINISA_Agua!E10</f>
        <v>7545</v>
      </c>
      <c r="C11" s="13">
        <f>Base_SINISA_Agua!F10</f>
        <v>194</v>
      </c>
      <c r="D11" s="13">
        <f>Sol_Alternativas!N10</f>
        <v>0</v>
      </c>
      <c r="E11" s="13">
        <f>Sol_Alternativas!O10</f>
        <v>0</v>
      </c>
      <c r="F11" s="13">
        <f t="shared" si="0"/>
        <v>7739</v>
      </c>
      <c r="G11" s="13">
        <f>Base_Denominadores!C10</f>
        <v>8120</v>
      </c>
      <c r="H11" s="21">
        <f>IF(OR(Base_SINISA_Agua!$C10="Ausente",G11="",G11=0),"n.c.",F11/G11)</f>
        <v>0.95307881773399017</v>
      </c>
      <c r="I11" s="13" t="str">
        <f>IF(Base_SINISA_Agua!$C10="Ausente","Insatisfatório – prestador ausente",IF(OR(G11="",G11=0),"Não calculado – denominador ausente",IF(OR(Base_SINISA_Agua!$AD10="Inconsistente – residencial&gt;total",Base_SINISA_Agua!$AE10="Inconsistente – residencial&gt;total"),"Calculado com ressalva grave – inconsistência residencial/total na fonte",IF(COUNTBLANK(Base_SINISA_Agua!E10:F10)&gt;0,"Calculado com ressalva – parcela ausente = zero","Calculado"))))</f>
        <v>Calculado</v>
      </c>
      <c r="J11" s="13" t="str">
        <f t="shared" si="1"/>
        <v>Sim</v>
      </c>
      <c r="K11" s="13" t="str">
        <f>IF(AND(ISNUMBER(H11),H11&gt;1),"Resultado &gt;100% — indício de incompatibilidade numerador/denominador; ressalva de consistência, cálculo mantido. ","")&amp;IF(Sol_Alternativas!$J10="Sim","Água urbana validada e computada.","Água urbana não validada.")&amp;" "&amp;IF(Sol_Alternativas!$K10="Sim","Água rural validada e computada.","Água rural não validada.")</f>
        <v>Água urbana não validada. Água rural não validada.</v>
      </c>
    </row>
    <row r="12" spans="1:11" ht="15" customHeight="1" x14ac:dyDescent="0.35">
      <c r="A12" s="12" t="s">
        <v>109</v>
      </c>
      <c r="B12" s="12">
        <f>Base_SINISA_Agua!E11</f>
        <v>105916</v>
      </c>
      <c r="C12" s="13">
        <f>Base_SINISA_Agua!F11</f>
        <v>0</v>
      </c>
      <c r="D12" s="13">
        <f>Sol_Alternativas!N11</f>
        <v>0</v>
      </c>
      <c r="E12" s="13">
        <f>Sol_Alternativas!O11</f>
        <v>0</v>
      </c>
      <c r="F12" s="13">
        <f t="shared" si="0"/>
        <v>105916</v>
      </c>
      <c r="G12" s="13">
        <f>Base_Denominadores!C11</f>
        <v>101387</v>
      </c>
      <c r="H12" s="21">
        <f>IF(OR(Base_SINISA_Agua!$C11="Ausente",G12="",G12=0),"n.c.",F12/G12)</f>
        <v>1.0446704212571631</v>
      </c>
      <c r="I12" s="13" t="str">
        <f>IF(Base_SINISA_Agua!$C11="Ausente","Insatisfatório – prestador ausente",IF(OR(G12="",G12=0),"Não calculado – denominador ausente",IF(OR(Base_SINISA_Agua!$AD11="Inconsistente – residencial&gt;total",Base_SINISA_Agua!$AE11="Inconsistente – residencial&gt;total"),"Calculado com ressalva grave – inconsistência residencial/total na fonte",IF(COUNTBLANK(Base_SINISA_Agua!E11:F11)&gt;0,"Calculado com ressalva – parcela ausente = zero","Calculado"))))</f>
        <v>Calculado</v>
      </c>
      <c r="J12" s="13" t="str">
        <f t="shared" si="1"/>
        <v>Sim</v>
      </c>
      <c r="K12" s="13" t="str">
        <f>IF(AND(ISNUMBER(H12),H12&gt;1),"Resultado &gt;100% — indício de incompatibilidade numerador/denominador; ressalva de consistência, cálculo mantido. ","")&amp;IF(Sol_Alternativas!$J11="Sim","Água urbana validada e computada.","Água urbana não validada.")&amp;" "&amp;IF(Sol_Alternativas!$K11="Sim","Água rural validada e computada.","Água rural não validada.")</f>
        <v>Resultado &gt;100% — indício de incompatibilidade numerador/denominador; ressalva de consistência, cálculo mantido. Água urbana não validada. Água rural não validada.</v>
      </c>
    </row>
    <row r="13" spans="1:11" ht="15" customHeight="1" x14ac:dyDescent="0.35">
      <c r="A13" s="12" t="s">
        <v>111</v>
      </c>
      <c r="B13" s="12">
        <f>Base_SINISA_Agua!E12</f>
        <v>2660</v>
      </c>
      <c r="C13" s="13">
        <f>Base_SINISA_Agua!F12</f>
        <v>0</v>
      </c>
      <c r="D13" s="13">
        <f>Sol_Alternativas!N12</f>
        <v>0</v>
      </c>
      <c r="E13" s="13">
        <f>Sol_Alternativas!O12</f>
        <v>0</v>
      </c>
      <c r="F13" s="13">
        <f t="shared" si="0"/>
        <v>2660</v>
      </c>
      <c r="G13" s="13">
        <f>Base_Denominadores!C12</f>
        <v>0</v>
      </c>
      <c r="H13" s="21" t="str">
        <f>IF(OR(Base_SINISA_Agua!$C12="Ausente",G13="",G13=0),"n.c.",F13/G13)</f>
        <v>n.c.</v>
      </c>
      <c r="I13" s="13" t="str">
        <f>IF(Base_SINISA_Agua!$C12="Ausente","Insatisfatório – prestador ausente",IF(OR(G13="",G13=0),"Não calculado – denominador ausente",IF(OR(Base_SINISA_Agua!$AD12="Inconsistente – residencial&gt;total",Base_SINISA_Agua!$AE12="Inconsistente – residencial&gt;total"),"Calculado com ressalva grave – inconsistência residencial/total na fonte",IF(COUNTBLANK(Base_SINISA_Agua!E12:F12)&gt;0,"Calculado com ressalva – parcela ausente = zero","Calculado"))))</f>
        <v>Não calculado – denominador ausente</v>
      </c>
      <c r="J13" s="13" t="str">
        <f t="shared" si="1"/>
        <v>Não</v>
      </c>
      <c r="K13" s="13" t="str">
        <f>IF(AND(ISNUMBER(H13),H13&gt;1),"Resultado &gt;100% — indício de incompatibilidade numerador/denominador; ressalva de consistência, cálculo mantido. ","")&amp;IF(Sol_Alternativas!$J12="Sim","Água urbana validada e computada.","Água urbana não validada.")&amp;" "&amp;IF(Sol_Alternativas!$K12="Sim","Água rural validada e computada.","Água rural não validada.")</f>
        <v>Água urbana não validada. Água rural não validada.</v>
      </c>
    </row>
    <row r="14" spans="1:11" ht="15" customHeight="1" x14ac:dyDescent="0.35">
      <c r="A14" s="12" t="s">
        <v>113</v>
      </c>
      <c r="B14" s="12">
        <f>Base_SINISA_Agua!E13</f>
        <v>7469</v>
      </c>
      <c r="C14" s="13">
        <f>Base_SINISA_Agua!F13</f>
        <v>0</v>
      </c>
      <c r="D14" s="13">
        <f>Sol_Alternativas!N13</f>
        <v>0</v>
      </c>
      <c r="E14" s="13">
        <f>Sol_Alternativas!O13</f>
        <v>0</v>
      </c>
      <c r="F14" s="13">
        <f t="shared" si="0"/>
        <v>7469</v>
      </c>
      <c r="G14" s="13">
        <f>Base_Denominadores!C13</f>
        <v>7788</v>
      </c>
      <c r="H14" s="21">
        <f>IF(OR(Base_SINISA_Agua!$C13="Ausente",G14="",G14=0),"n.c.",F14/G14)</f>
        <v>0.95903954802259883</v>
      </c>
      <c r="I14" s="13" t="str">
        <f>IF(Base_SINISA_Agua!$C13="Ausente","Insatisfatório – prestador ausente",IF(OR(G14="",G14=0),"Não calculado – denominador ausente",IF(OR(Base_SINISA_Agua!$AD13="Inconsistente – residencial&gt;total",Base_SINISA_Agua!$AE13="Inconsistente – residencial&gt;total"),"Calculado com ressalva grave – inconsistência residencial/total na fonte",IF(COUNTBLANK(Base_SINISA_Agua!E13:F13)&gt;0,"Calculado com ressalva – parcela ausente = zero","Calculado"))))</f>
        <v>Calculado</v>
      </c>
      <c r="J14" s="13" t="str">
        <f t="shared" si="1"/>
        <v>Sim</v>
      </c>
      <c r="K14" s="13" t="str">
        <f>IF(AND(ISNUMBER(H14),H14&gt;1),"Resultado &gt;100% — indício de incompatibilidade numerador/denominador; ressalva de consistência, cálculo mantido. ","")&amp;IF(Sol_Alternativas!$J13="Sim","Água urbana validada e computada.","Água urbana não validada.")&amp;" "&amp;IF(Sol_Alternativas!$K13="Sim","Água rural validada e computada.","Água rural não validada.")</f>
        <v>Água urbana não validada. Água rural não validada.</v>
      </c>
    </row>
    <row r="15" spans="1:11" ht="15" customHeight="1" x14ac:dyDescent="0.35">
      <c r="A15" s="12" t="s">
        <v>114</v>
      </c>
      <c r="B15" s="12">
        <f>Base_SINISA_Agua!E14</f>
        <v>5740</v>
      </c>
      <c r="C15" s="13">
        <f>Base_SINISA_Agua!F14</f>
        <v>657</v>
      </c>
      <c r="D15" s="13">
        <f>Sol_Alternativas!N14</f>
        <v>0</v>
      </c>
      <c r="E15" s="13">
        <f>Sol_Alternativas!O14</f>
        <v>0</v>
      </c>
      <c r="F15" s="13">
        <f t="shared" si="0"/>
        <v>6397</v>
      </c>
      <c r="G15" s="13">
        <f>Base_Denominadores!C14</f>
        <v>7498</v>
      </c>
      <c r="H15" s="21">
        <f>IF(OR(Base_SINISA_Agua!$C14="Ausente",G15="",G15=0),"n.c.",F15/G15)</f>
        <v>0.85316084289143768</v>
      </c>
      <c r="I15" s="13" t="str">
        <f>IF(Base_SINISA_Agua!$C14="Ausente","Insatisfatório – prestador ausente",IF(OR(G15="",G15=0),"Não calculado – denominador ausente",IF(OR(Base_SINISA_Agua!$AD14="Inconsistente – residencial&gt;total",Base_SINISA_Agua!$AE14="Inconsistente – residencial&gt;total"),"Calculado com ressalva grave – inconsistência residencial/total na fonte",IF(COUNTBLANK(Base_SINISA_Agua!E14:F14)&gt;0,"Calculado com ressalva – parcela ausente = zero","Calculado"))))</f>
        <v>Calculado</v>
      </c>
      <c r="J15" s="13" t="str">
        <f t="shared" si="1"/>
        <v>Sim</v>
      </c>
      <c r="K15" s="13" t="str">
        <f>IF(AND(ISNUMBER(H15),H15&gt;1),"Resultado &gt;100% — indício de incompatibilidade numerador/denominador; ressalva de consistência, cálculo mantido. ","")&amp;IF(Sol_Alternativas!$J14="Sim","Água urbana validada e computada.","Água urbana não validada.")&amp;" "&amp;IF(Sol_Alternativas!$K14="Sim","Água rural validada e computada.","Água rural não validada.")</f>
        <v>Água urbana não validada. Água rural não validada.</v>
      </c>
    </row>
    <row r="16" spans="1:11" ht="15" customHeight="1" x14ac:dyDescent="0.35">
      <c r="A16" s="12" t="s">
        <v>115</v>
      </c>
      <c r="B16" s="12">
        <f>Base_SINISA_Agua!E15</f>
        <v>1034</v>
      </c>
      <c r="C16" s="13">
        <f>Base_SINISA_Agua!F15</f>
        <v>0</v>
      </c>
      <c r="D16" s="13">
        <f>Sol_Alternativas!N15</f>
        <v>0</v>
      </c>
      <c r="E16" s="13">
        <f>Sol_Alternativas!O15</f>
        <v>0</v>
      </c>
      <c r="F16" s="13">
        <f t="shared" si="0"/>
        <v>1034</v>
      </c>
      <c r="G16" s="13">
        <f>Base_Denominadores!C15</f>
        <v>1577</v>
      </c>
      <c r="H16" s="21">
        <f>IF(OR(Base_SINISA_Agua!$C15="Ausente",G16="",G16=0),"n.c.",F16/G16)</f>
        <v>0.65567533291058977</v>
      </c>
      <c r="I16" s="13" t="str">
        <f>IF(Base_SINISA_Agua!$C15="Ausente","Insatisfatório – prestador ausente",IF(OR(G16="",G16=0),"Não calculado – denominador ausente",IF(OR(Base_SINISA_Agua!$AD15="Inconsistente – residencial&gt;total",Base_SINISA_Agua!$AE15="Inconsistente – residencial&gt;total"),"Calculado com ressalva grave – inconsistência residencial/total na fonte",IF(COUNTBLANK(Base_SINISA_Agua!E15:F15)&gt;0,"Calculado com ressalva – parcela ausente = zero","Calculado"))))</f>
        <v>Calculado</v>
      </c>
      <c r="J16" s="13" t="str">
        <f t="shared" si="1"/>
        <v>Sim</v>
      </c>
      <c r="K16" s="13" t="str">
        <f>IF(AND(ISNUMBER(H16),H16&gt;1),"Resultado &gt;100% — indício de incompatibilidade numerador/denominador; ressalva de consistência, cálculo mantido. ","")&amp;IF(Sol_Alternativas!$J15="Sim","Água urbana validada e computada.","Água urbana não validada.")&amp;" "&amp;IF(Sol_Alternativas!$K15="Sim","Água rural validada e computada.","Água rural não validada.")</f>
        <v>Água urbana não validada. Água rural não validada.</v>
      </c>
    </row>
    <row r="17" spans="1:11" ht="15" customHeight="1" x14ac:dyDescent="0.35">
      <c r="A17" s="12" t="s">
        <v>117</v>
      </c>
      <c r="B17" s="12">
        <f>Base_SINISA_Agua!E16</f>
        <v>1805</v>
      </c>
      <c r="C17" s="13">
        <f>Base_SINISA_Agua!F16</f>
        <v>1397</v>
      </c>
      <c r="D17" s="13">
        <f>Sol_Alternativas!N16</f>
        <v>0</v>
      </c>
      <c r="E17" s="13">
        <f>Sol_Alternativas!O16</f>
        <v>0</v>
      </c>
      <c r="F17" s="13">
        <f t="shared" si="0"/>
        <v>3202</v>
      </c>
      <c r="G17" s="13">
        <f>Base_Denominadores!C16</f>
        <v>2345</v>
      </c>
      <c r="H17" s="21">
        <f>IF(OR(Base_SINISA_Agua!$C16="Ausente",G17="",G17=0),"n.c.",F17/G17)</f>
        <v>1.36545842217484</v>
      </c>
      <c r="I17" s="13" t="str">
        <f>IF(Base_SINISA_Agua!$C16="Ausente","Insatisfatório – prestador ausente",IF(OR(G17="",G17=0),"Não calculado – denominador ausente",IF(OR(Base_SINISA_Agua!$AD16="Inconsistente – residencial&gt;total",Base_SINISA_Agua!$AE16="Inconsistente – residencial&gt;total"),"Calculado com ressalva grave – inconsistência residencial/total na fonte",IF(COUNTBLANK(Base_SINISA_Agua!E16:F16)&gt;0,"Calculado com ressalva – parcela ausente = zero","Calculado"))))</f>
        <v>Calculado</v>
      </c>
      <c r="J17" s="13" t="str">
        <f t="shared" si="1"/>
        <v>Sim</v>
      </c>
      <c r="K17" s="13" t="str">
        <f>IF(AND(ISNUMBER(H17),H17&gt;1),"Resultado &gt;100% — indício de incompatibilidade numerador/denominador; ressalva de consistência, cálculo mantido. ","")&amp;IF(Sol_Alternativas!$J16="Sim","Água urbana validada e computada.","Água urbana não validada.")&amp;" "&amp;IF(Sol_Alternativas!$K16="Sim","Água rural validada e computada.","Água rural não validada.")</f>
        <v>Resultado &gt;100% — indício de incompatibilidade numerador/denominador; ressalva de consistência, cálculo mantido. Água urbana não validada. Água rural não validada.</v>
      </c>
    </row>
    <row r="18" spans="1:11" ht="15" customHeight="1" x14ac:dyDescent="0.35">
      <c r="A18" s="12" t="s">
        <v>119</v>
      </c>
      <c r="B18" s="12">
        <f>Base_SINISA_Agua!E17</f>
        <v>2442</v>
      </c>
      <c r="C18" s="13">
        <f>Base_SINISA_Agua!F17</f>
        <v>2200</v>
      </c>
      <c r="D18" s="13">
        <f>Sol_Alternativas!N17</f>
        <v>0</v>
      </c>
      <c r="E18" s="13">
        <f>Sol_Alternativas!O17</f>
        <v>0</v>
      </c>
      <c r="F18" s="13">
        <f t="shared" si="0"/>
        <v>4642</v>
      </c>
      <c r="G18" s="13">
        <f>Base_Denominadores!C17</f>
        <v>4567</v>
      </c>
      <c r="H18" s="21">
        <f>IF(OR(Base_SINISA_Agua!$C17="Ausente",G18="",G18=0),"n.c.",F18/G18)</f>
        <v>1.0164221589664988</v>
      </c>
      <c r="I18" s="13" t="str">
        <f>IF(Base_SINISA_Agua!$C17="Ausente","Insatisfatório – prestador ausente",IF(OR(G18="",G18=0),"Não calculado – denominador ausente",IF(OR(Base_SINISA_Agua!$AD17="Inconsistente – residencial&gt;total",Base_SINISA_Agua!$AE17="Inconsistente – residencial&gt;total"),"Calculado com ressalva grave – inconsistência residencial/total na fonte",IF(COUNTBLANK(Base_SINISA_Agua!E17:F17)&gt;0,"Calculado com ressalva – parcela ausente = zero","Calculado"))))</f>
        <v>Calculado</v>
      </c>
      <c r="J18" s="13" t="str">
        <f t="shared" si="1"/>
        <v>Sim</v>
      </c>
      <c r="K18" s="13" t="str">
        <f>IF(AND(ISNUMBER(H18),H18&gt;1),"Resultado &gt;100% — indício de incompatibilidade numerador/denominador; ressalva de consistência, cálculo mantido. ","")&amp;IF(Sol_Alternativas!$J17="Sim","Água urbana validada e computada.","Água urbana não validada.")&amp;" "&amp;IF(Sol_Alternativas!$K17="Sim","Água rural validada e computada.","Água rural não validada.")</f>
        <v>Resultado &gt;100% — indício de incompatibilidade numerador/denominador; ressalva de consistência, cálculo mantido. Água urbana não validada. Água rural não validada.</v>
      </c>
    </row>
    <row r="19" spans="1:11" ht="15" customHeight="1" x14ac:dyDescent="0.35">
      <c r="A19" s="12" t="s">
        <v>121</v>
      </c>
      <c r="B19" s="12">
        <f>Base_SINISA_Agua!E18</f>
        <v>3626</v>
      </c>
      <c r="C19" s="13">
        <f>Base_SINISA_Agua!F18</f>
        <v>0</v>
      </c>
      <c r="D19" s="13">
        <f>Sol_Alternativas!N18</f>
        <v>0</v>
      </c>
      <c r="E19" s="13">
        <f>Sol_Alternativas!O18</f>
        <v>0</v>
      </c>
      <c r="F19" s="13">
        <f t="shared" si="0"/>
        <v>3626</v>
      </c>
      <c r="G19" s="13">
        <f>Base_Denominadores!C18</f>
        <v>0</v>
      </c>
      <c r="H19" s="21" t="str">
        <f>IF(OR(Base_SINISA_Agua!$C18="Ausente",G19="",G19=0),"n.c.",F19/G19)</f>
        <v>n.c.</v>
      </c>
      <c r="I19" s="13" t="str">
        <f>IF(Base_SINISA_Agua!$C18="Ausente","Insatisfatório – prestador ausente",IF(OR(G19="",G19=0),"Não calculado – denominador ausente",IF(OR(Base_SINISA_Agua!$AD18="Inconsistente – residencial&gt;total",Base_SINISA_Agua!$AE18="Inconsistente – residencial&gt;total"),"Calculado com ressalva grave – inconsistência residencial/total na fonte",IF(COUNTBLANK(Base_SINISA_Agua!E18:F18)&gt;0,"Calculado com ressalva – parcela ausente = zero","Calculado"))))</f>
        <v>Não calculado – denominador ausente</v>
      </c>
      <c r="J19" s="13" t="str">
        <f t="shared" si="1"/>
        <v>Não</v>
      </c>
      <c r="K19" s="13" t="str">
        <f>IF(AND(ISNUMBER(H19),H19&gt;1),"Resultado &gt;100% — indício de incompatibilidade numerador/denominador; ressalva de consistência, cálculo mantido. ","")&amp;IF(Sol_Alternativas!$J18="Sim","Água urbana validada e computada.","Água urbana não validada.")&amp;" "&amp;IF(Sol_Alternativas!$K18="Sim","Água rural validada e computada.","Água rural não validada.")</f>
        <v>Água urbana não validada. Água rural não validada.</v>
      </c>
    </row>
    <row r="20" spans="1:11" ht="15" customHeight="1" x14ac:dyDescent="0.35">
      <c r="A20" s="12" t="s">
        <v>122</v>
      </c>
      <c r="B20" s="12">
        <f>Base_SINISA_Agua!E19</f>
        <v>6690</v>
      </c>
      <c r="C20" s="13">
        <f>Base_SINISA_Agua!F19</f>
        <v>200</v>
      </c>
      <c r="D20" s="13">
        <f>Sol_Alternativas!N19</f>
        <v>0</v>
      </c>
      <c r="E20" s="13">
        <f>Sol_Alternativas!O19</f>
        <v>0</v>
      </c>
      <c r="F20" s="13">
        <f t="shared" si="0"/>
        <v>6890</v>
      </c>
      <c r="G20" s="13">
        <f>Base_Denominadores!C19</f>
        <v>7084</v>
      </c>
      <c r="H20" s="21">
        <f>IF(OR(Base_SINISA_Agua!$C19="Ausente",G20="",G20=0),"n.c.",F20/G20)</f>
        <v>0.97261434217955955</v>
      </c>
      <c r="I20" s="13" t="str">
        <f>IF(Base_SINISA_Agua!$C19="Ausente","Insatisfatório – prestador ausente",IF(OR(G20="",G20=0),"Não calculado – denominador ausente",IF(OR(Base_SINISA_Agua!$AD19="Inconsistente – residencial&gt;total",Base_SINISA_Agua!$AE19="Inconsistente – residencial&gt;total"),"Calculado com ressalva grave – inconsistência residencial/total na fonte",IF(COUNTBLANK(Base_SINISA_Agua!E19:F19)&gt;0,"Calculado com ressalva – parcela ausente = zero","Calculado"))))</f>
        <v>Calculado</v>
      </c>
      <c r="J20" s="13" t="str">
        <f t="shared" si="1"/>
        <v>Sim</v>
      </c>
      <c r="K20" s="13" t="str">
        <f>IF(AND(ISNUMBER(H20),H20&gt;1),"Resultado &gt;100% — indício de incompatibilidade numerador/denominador; ressalva de consistência, cálculo mantido. ","")&amp;IF(Sol_Alternativas!$J19="Sim","Água urbana validada e computada.","Água urbana não validada.")&amp;" "&amp;IF(Sol_Alternativas!$K19="Sim","Água rural validada e computada.","Água rural não validada.")</f>
        <v>Água urbana não validada. Água rural não validada.</v>
      </c>
    </row>
    <row r="21" spans="1:11" ht="15" customHeight="1" x14ac:dyDescent="0.35">
      <c r="A21" s="12" t="s">
        <v>123</v>
      </c>
      <c r="B21" s="12">
        <f>Base_SINISA_Agua!E20</f>
        <v>25666</v>
      </c>
      <c r="C21" s="13">
        <f>Base_SINISA_Agua!F20</f>
        <v>2549</v>
      </c>
      <c r="D21" s="13">
        <f>Sol_Alternativas!N20</f>
        <v>0</v>
      </c>
      <c r="E21" s="13">
        <f>Sol_Alternativas!O20</f>
        <v>0</v>
      </c>
      <c r="F21" s="13">
        <f t="shared" si="0"/>
        <v>28215</v>
      </c>
      <c r="G21" s="13">
        <f>Base_Denominadores!C20</f>
        <v>34980</v>
      </c>
      <c r="H21" s="21">
        <f>IF(OR(Base_SINISA_Agua!$C20="Ausente",G21="",G21=0),"n.c.",F21/G21)</f>
        <v>0.80660377358490565</v>
      </c>
      <c r="I21" s="13" t="str">
        <f>IF(Base_SINISA_Agua!$C20="Ausente","Insatisfatório – prestador ausente",IF(OR(G21="",G21=0),"Não calculado – denominador ausente",IF(OR(Base_SINISA_Agua!$AD20="Inconsistente – residencial&gt;total",Base_SINISA_Agua!$AE20="Inconsistente – residencial&gt;total"),"Calculado com ressalva grave – inconsistência residencial/total na fonte",IF(COUNTBLANK(Base_SINISA_Agua!E20:F20)&gt;0,"Calculado com ressalva – parcela ausente = zero","Calculado"))))</f>
        <v>Calculado</v>
      </c>
      <c r="J21" s="13" t="str">
        <f t="shared" si="1"/>
        <v>Sim</v>
      </c>
      <c r="K21" s="13" t="str">
        <f>IF(AND(ISNUMBER(H21),H21&gt;1),"Resultado &gt;100% — indício de incompatibilidade numerador/denominador; ressalva de consistência, cálculo mantido. ","")&amp;IF(Sol_Alternativas!$J20="Sim","Água urbana validada e computada.","Água urbana não validada.")&amp;" "&amp;IF(Sol_Alternativas!$K20="Sim","Água rural validada e computada.","Água rural não validada.")</f>
        <v>Água urbana não validada. Água rural não validada.</v>
      </c>
    </row>
    <row r="22" spans="1:11" ht="15" customHeight="1" x14ac:dyDescent="0.35">
      <c r="A22" s="12" t="s">
        <v>125</v>
      </c>
      <c r="B22" s="12">
        <f>Base_SINISA_Agua!E21</f>
        <v>6209</v>
      </c>
      <c r="C22" s="13">
        <f>Base_SINISA_Agua!F21</f>
        <v>473</v>
      </c>
      <c r="D22" s="13">
        <f>Sol_Alternativas!N21</f>
        <v>0</v>
      </c>
      <c r="E22" s="13">
        <f>Sol_Alternativas!O21</f>
        <v>0</v>
      </c>
      <c r="F22" s="13">
        <f t="shared" si="0"/>
        <v>6682</v>
      </c>
      <c r="G22" s="13">
        <f>Base_Denominadores!C21</f>
        <v>7795</v>
      </c>
      <c r="H22" s="21">
        <f>IF(OR(Base_SINISA_Agua!$C21="Ausente",G22="",G22=0),"n.c.",F22/G22)</f>
        <v>0.85721616420782554</v>
      </c>
      <c r="I22" s="13" t="str">
        <f>IF(Base_SINISA_Agua!$C21="Ausente","Insatisfatório – prestador ausente",IF(OR(G22="",G22=0),"Não calculado – denominador ausente",IF(OR(Base_SINISA_Agua!$AD21="Inconsistente – residencial&gt;total",Base_SINISA_Agua!$AE21="Inconsistente – residencial&gt;total"),"Calculado com ressalva grave – inconsistência residencial/total na fonte",IF(COUNTBLANK(Base_SINISA_Agua!E21:F21)&gt;0,"Calculado com ressalva – parcela ausente = zero","Calculado"))))</f>
        <v>Calculado</v>
      </c>
      <c r="J22" s="13" t="str">
        <f t="shared" si="1"/>
        <v>Sim</v>
      </c>
      <c r="K22" s="13" t="str">
        <f>IF(AND(ISNUMBER(H22),H22&gt;1),"Resultado &gt;100% — indício de incompatibilidade numerador/denominador; ressalva de consistência, cálculo mantido. ","")&amp;IF(Sol_Alternativas!$J21="Sim","Água urbana validada e computada.","Água urbana não validada.")&amp;" "&amp;IF(Sol_Alternativas!$K21="Sim","Água rural validada e computada.","Água rural não validada.")</f>
        <v>Água urbana não validada. Água rural não validada.</v>
      </c>
    </row>
    <row r="23" spans="1:11" ht="15" customHeight="1" x14ac:dyDescent="0.35">
      <c r="A23" s="12" t="s">
        <v>126</v>
      </c>
      <c r="B23" s="12">
        <f>Base_SINISA_Agua!E22</f>
        <v>8752</v>
      </c>
      <c r="C23" s="13">
        <f>Base_SINISA_Agua!F22</f>
        <v>98</v>
      </c>
      <c r="D23" s="13">
        <f>Sol_Alternativas!N22</f>
        <v>0</v>
      </c>
      <c r="E23" s="13">
        <f>Sol_Alternativas!O22</f>
        <v>0</v>
      </c>
      <c r="F23" s="13">
        <f t="shared" si="0"/>
        <v>8850</v>
      </c>
      <c r="G23" s="13">
        <f>Base_Denominadores!C22</f>
        <v>10481</v>
      </c>
      <c r="H23" s="21">
        <f>IF(OR(Base_SINISA_Agua!$C22="Ausente",G23="",G23=0),"n.c.",F23/G23)</f>
        <v>0.8443850777597558</v>
      </c>
      <c r="I23" s="13" t="str">
        <f>IF(Base_SINISA_Agua!$C22="Ausente","Insatisfatório – prestador ausente",IF(OR(G23="",G23=0),"Não calculado – denominador ausente",IF(OR(Base_SINISA_Agua!$AD22="Inconsistente – residencial&gt;total",Base_SINISA_Agua!$AE22="Inconsistente – residencial&gt;total"),"Calculado com ressalva grave – inconsistência residencial/total na fonte",IF(COUNTBLANK(Base_SINISA_Agua!E22:F22)&gt;0,"Calculado com ressalva – parcela ausente = zero","Calculado"))))</f>
        <v>Calculado</v>
      </c>
      <c r="J23" s="13" t="str">
        <f t="shared" si="1"/>
        <v>Sim</v>
      </c>
      <c r="K23" s="13" t="str">
        <f>IF(AND(ISNUMBER(H23),H23&gt;1),"Resultado &gt;100% — indício de incompatibilidade numerador/denominador; ressalva de consistência, cálculo mantido. ","")&amp;IF(Sol_Alternativas!$J22="Sim","Água urbana validada e computada.","Água urbana não validada.")&amp;" "&amp;IF(Sol_Alternativas!$K22="Sim","Água rural validada e computada.","Água rural não validada.")</f>
        <v>Água urbana não validada. Água rural não validada.</v>
      </c>
    </row>
    <row r="24" spans="1:11" ht="15" customHeight="1" x14ac:dyDescent="0.35">
      <c r="A24" s="12" t="s">
        <v>127</v>
      </c>
      <c r="B24" s="12">
        <f>Base_SINISA_Agua!E23</f>
        <v>16952</v>
      </c>
      <c r="C24" s="13">
        <f>Base_SINISA_Agua!F23</f>
        <v>2557</v>
      </c>
      <c r="D24" s="13">
        <f>Sol_Alternativas!N23</f>
        <v>0</v>
      </c>
      <c r="E24" s="13">
        <f>Sol_Alternativas!O23</f>
        <v>0</v>
      </c>
      <c r="F24" s="13">
        <f t="shared" si="0"/>
        <v>19509</v>
      </c>
      <c r="G24" s="13">
        <f>Base_Denominadores!C23</f>
        <v>22635</v>
      </c>
      <c r="H24" s="21">
        <f>IF(OR(Base_SINISA_Agua!$C23="Ausente",G24="",G24=0),"n.c.",F24/G24)</f>
        <v>0.861895294897283</v>
      </c>
      <c r="I24" s="13" t="str">
        <f>IF(Base_SINISA_Agua!$C23="Ausente","Insatisfatório – prestador ausente",IF(OR(G24="",G24=0),"Não calculado – denominador ausente",IF(OR(Base_SINISA_Agua!$AD23="Inconsistente – residencial&gt;total",Base_SINISA_Agua!$AE23="Inconsistente – residencial&gt;total"),"Calculado com ressalva grave – inconsistência residencial/total na fonte",IF(COUNTBLANK(Base_SINISA_Agua!E23:F23)&gt;0,"Calculado com ressalva – parcela ausente = zero","Calculado"))))</f>
        <v>Calculado</v>
      </c>
      <c r="J24" s="13" t="str">
        <f t="shared" si="1"/>
        <v>Sim</v>
      </c>
      <c r="K24" s="13" t="str">
        <f>IF(AND(ISNUMBER(H24),H24&gt;1),"Resultado &gt;100% — indício de incompatibilidade numerador/denominador; ressalva de consistência, cálculo mantido. ","")&amp;IF(Sol_Alternativas!$J23="Sim","Água urbana validada e computada.","Água urbana não validada.")&amp;" "&amp;IF(Sol_Alternativas!$K23="Sim","Água rural validada e computada.","Água rural não validada.")</f>
        <v>Água urbana não validada. Água rural não validada.</v>
      </c>
    </row>
    <row r="25" spans="1:11" ht="15" customHeight="1" x14ac:dyDescent="0.35">
      <c r="A25" s="12" t="s">
        <v>129</v>
      </c>
      <c r="B25" s="12">
        <f>Base_SINISA_Agua!E24</f>
        <v>40860</v>
      </c>
      <c r="C25" s="13">
        <f>Base_SINISA_Agua!F24</f>
        <v>0</v>
      </c>
      <c r="D25" s="13">
        <f>Sol_Alternativas!N24</f>
        <v>0</v>
      </c>
      <c r="E25" s="13">
        <f>Sol_Alternativas!O24</f>
        <v>0</v>
      </c>
      <c r="F25" s="13">
        <f t="shared" si="0"/>
        <v>40860</v>
      </c>
      <c r="G25" s="13">
        <f>Base_Denominadores!C24</f>
        <v>40970</v>
      </c>
      <c r="H25" s="21">
        <f>IF(OR(Base_SINISA_Agua!$C24="Ausente",G25="",G25=0),"n.c.",F25/G25)</f>
        <v>0.99731510861606054</v>
      </c>
      <c r="I25" s="13" t="str">
        <f>IF(Base_SINISA_Agua!$C24="Ausente","Insatisfatório – prestador ausente",IF(OR(G25="",G25=0),"Não calculado – denominador ausente",IF(OR(Base_SINISA_Agua!$AD24="Inconsistente – residencial&gt;total",Base_SINISA_Agua!$AE24="Inconsistente – residencial&gt;total"),"Calculado com ressalva grave – inconsistência residencial/total na fonte",IF(COUNTBLANK(Base_SINISA_Agua!E24:F24)&gt;0,"Calculado com ressalva – parcela ausente = zero","Calculado"))))</f>
        <v>Calculado</v>
      </c>
      <c r="J25" s="13" t="str">
        <f t="shared" si="1"/>
        <v>Sim</v>
      </c>
      <c r="K25" s="13" t="str">
        <f>IF(AND(ISNUMBER(H25),H25&gt;1),"Resultado &gt;100% — indício de incompatibilidade numerador/denominador; ressalva de consistência, cálculo mantido. ","")&amp;IF(Sol_Alternativas!$J24="Sim","Água urbana validada e computada.","Água urbana não validada.")&amp;" "&amp;IF(Sol_Alternativas!$K24="Sim","Água rural validada e computada.","Água rural não validada.")</f>
        <v>Água urbana não validada. Água rural não validada.</v>
      </c>
    </row>
    <row r="26" spans="1:11" ht="15" customHeight="1" x14ac:dyDescent="0.35">
      <c r="A26" s="12" t="s">
        <v>131</v>
      </c>
      <c r="B26" s="12">
        <f>Base_SINISA_Agua!E25</f>
        <v>0</v>
      </c>
      <c r="C26" s="13">
        <f>Base_SINISA_Agua!F25</f>
        <v>0</v>
      </c>
      <c r="D26" s="13">
        <f>Sol_Alternativas!N25</f>
        <v>0</v>
      </c>
      <c r="E26" s="13">
        <f>Sol_Alternativas!O25</f>
        <v>0</v>
      </c>
      <c r="F26" s="13">
        <f t="shared" si="0"/>
        <v>0</v>
      </c>
      <c r="G26" s="13">
        <f>Base_Denominadores!C25</f>
        <v>1709</v>
      </c>
      <c r="H26" s="21" t="str">
        <f>IF(OR(Base_SINISA_Agua!$C25="Ausente",G26="",G26=0),"n.c.",F26/G26)</f>
        <v>n.c.</v>
      </c>
      <c r="I26" s="13" t="str">
        <f>IF(Base_SINISA_Agua!$C25="Ausente","Insatisfatório – prestador ausente",IF(OR(G26="",G26=0),"Não calculado – denominador ausente",IF(OR(Base_SINISA_Agua!$AD25="Inconsistente – residencial&gt;total",Base_SINISA_Agua!$AE25="Inconsistente – residencial&gt;total"),"Calculado com ressalva grave – inconsistência residencial/total na fonte",IF(COUNTBLANK(Base_SINISA_Agua!E25:F25)&gt;0,"Calculado com ressalva – parcela ausente = zero","Calculado"))))</f>
        <v>Insatisfatório – prestador ausente</v>
      </c>
      <c r="J26" s="13" t="str">
        <f t="shared" si="1"/>
        <v>Não</v>
      </c>
      <c r="K26" s="13" t="str">
        <f>IF(AND(ISNUMBER(H26),H26&gt;1),"Resultado &gt;100% — indício de incompatibilidade numerador/denominador; ressalva de consistência, cálculo mantido. ","")&amp;IF(Sol_Alternativas!$J25="Sim","Água urbana validada e computada.","Água urbana não validada.")&amp;" "&amp;IF(Sol_Alternativas!$K25="Sim","Água rural validada e computada.","Água rural não validada.")</f>
        <v>Água urbana não validada. Água rural não validada.</v>
      </c>
    </row>
    <row r="27" spans="1:11" ht="15" customHeight="1" x14ac:dyDescent="0.35">
      <c r="A27" s="12" t="s">
        <v>132</v>
      </c>
      <c r="B27" s="12">
        <f>Base_SINISA_Agua!E26</f>
        <v>1999</v>
      </c>
      <c r="C27" s="13">
        <f>Base_SINISA_Agua!F26</f>
        <v>480</v>
      </c>
      <c r="D27" s="13">
        <f>Sol_Alternativas!N26</f>
        <v>0</v>
      </c>
      <c r="E27" s="13">
        <f>Sol_Alternativas!O26</f>
        <v>0</v>
      </c>
      <c r="F27" s="13">
        <f t="shared" si="0"/>
        <v>2479</v>
      </c>
      <c r="G27" s="13">
        <f>Base_Denominadores!C26</f>
        <v>2689</v>
      </c>
      <c r="H27" s="21">
        <f>IF(OR(Base_SINISA_Agua!$C26="Ausente",G27="",G27=0),"n.c.",F27/G27)</f>
        <v>0.92190405355150618</v>
      </c>
      <c r="I27" s="13" t="str">
        <f>IF(Base_SINISA_Agua!$C26="Ausente","Insatisfatório – prestador ausente",IF(OR(G27="",G27=0),"Não calculado – denominador ausente",IF(OR(Base_SINISA_Agua!$AD26="Inconsistente – residencial&gt;total",Base_SINISA_Agua!$AE26="Inconsistente – residencial&gt;total"),"Calculado com ressalva grave – inconsistência residencial/total na fonte",IF(COUNTBLANK(Base_SINISA_Agua!E26:F26)&gt;0,"Calculado com ressalva – parcela ausente = zero","Calculado"))))</f>
        <v>Calculado</v>
      </c>
      <c r="J27" s="13" t="str">
        <f t="shared" si="1"/>
        <v>Sim</v>
      </c>
      <c r="K27" s="13" t="str">
        <f>IF(AND(ISNUMBER(H27),H27&gt;1),"Resultado &gt;100% — indício de incompatibilidade numerador/denominador; ressalva de consistência, cálculo mantido. ","")&amp;IF(Sol_Alternativas!$J26="Sim","Água urbana validada e computada.","Água urbana não validada.")&amp;" "&amp;IF(Sol_Alternativas!$K26="Sim","Água rural validada e computada.","Água rural não validada.")</f>
        <v>Água urbana não validada. Água rural não validada.</v>
      </c>
    </row>
    <row r="28" spans="1:11" ht="15" customHeight="1" x14ac:dyDescent="0.35">
      <c r="A28" s="12" t="s">
        <v>134</v>
      </c>
      <c r="B28" s="12">
        <f>Base_SINISA_Agua!E27</f>
        <v>3017</v>
      </c>
      <c r="C28" s="13">
        <f>Base_SINISA_Agua!F27</f>
        <v>0</v>
      </c>
      <c r="D28" s="13">
        <f>Sol_Alternativas!N27</f>
        <v>0</v>
      </c>
      <c r="E28" s="13">
        <f>Sol_Alternativas!O27</f>
        <v>0</v>
      </c>
      <c r="F28" s="13">
        <f t="shared" si="0"/>
        <v>3017</v>
      </c>
      <c r="G28" s="13">
        <f>Base_Denominadores!C27</f>
        <v>3307</v>
      </c>
      <c r="H28" s="21">
        <f>IF(OR(Base_SINISA_Agua!$C27="Ausente",G28="",G28=0),"n.c.",F28/G28)</f>
        <v>0.91230722709404299</v>
      </c>
      <c r="I28" s="13" t="str">
        <f>IF(Base_SINISA_Agua!$C27="Ausente","Insatisfatório – prestador ausente",IF(OR(G28="",G28=0),"Não calculado – denominador ausente",IF(OR(Base_SINISA_Agua!$AD27="Inconsistente – residencial&gt;total",Base_SINISA_Agua!$AE27="Inconsistente – residencial&gt;total"),"Calculado com ressalva grave – inconsistência residencial/total na fonte",IF(COUNTBLANK(Base_SINISA_Agua!E27:F27)&gt;0,"Calculado com ressalva – parcela ausente = zero","Calculado"))))</f>
        <v>Calculado</v>
      </c>
      <c r="J28" s="13" t="str">
        <f t="shared" si="1"/>
        <v>Sim</v>
      </c>
      <c r="K28" s="13" t="str">
        <f>IF(AND(ISNUMBER(H28),H28&gt;1),"Resultado &gt;100% — indício de incompatibilidade numerador/denominador; ressalva de consistência, cálculo mantido. ","")&amp;IF(Sol_Alternativas!$J27="Sim","Água urbana validada e computada.","Água urbana não validada.")&amp;" "&amp;IF(Sol_Alternativas!$K27="Sim","Água rural validada e computada.","Água rural não validada.")</f>
        <v>Água urbana não validada. Água rural não validada.</v>
      </c>
    </row>
    <row r="29" spans="1:11" ht="15" customHeight="1" x14ac:dyDescent="0.35">
      <c r="A29" s="12" t="s">
        <v>135</v>
      </c>
      <c r="B29" s="12">
        <f>Base_SINISA_Agua!E28</f>
        <v>21103</v>
      </c>
      <c r="C29" s="13">
        <f>Base_SINISA_Agua!F28</f>
        <v>857</v>
      </c>
      <c r="D29" s="13">
        <f>Sol_Alternativas!N28</f>
        <v>0</v>
      </c>
      <c r="E29" s="13">
        <f>Sol_Alternativas!O28</f>
        <v>0</v>
      </c>
      <c r="F29" s="13">
        <f t="shared" si="0"/>
        <v>21960</v>
      </c>
      <c r="G29" s="13">
        <f>Base_Denominadores!C28</f>
        <v>21900</v>
      </c>
      <c r="H29" s="21">
        <f>IF(OR(Base_SINISA_Agua!$C28="Ausente",G29="",G29=0),"n.c.",F29/G29)</f>
        <v>1.0027397260273974</v>
      </c>
      <c r="I29" s="13" t="str">
        <f>IF(Base_SINISA_Agua!$C28="Ausente","Insatisfatório – prestador ausente",IF(OR(G29="",G29=0),"Não calculado – denominador ausente",IF(OR(Base_SINISA_Agua!$AD28="Inconsistente – residencial&gt;total",Base_SINISA_Agua!$AE28="Inconsistente – residencial&gt;total"),"Calculado com ressalva grave – inconsistência residencial/total na fonte",IF(COUNTBLANK(Base_SINISA_Agua!E28:F28)&gt;0,"Calculado com ressalva – parcela ausente = zero","Calculado"))))</f>
        <v>Calculado</v>
      </c>
      <c r="J29" s="13" t="str">
        <f t="shared" si="1"/>
        <v>Sim</v>
      </c>
      <c r="K29" s="13" t="str">
        <f>IF(AND(ISNUMBER(H29),H29&gt;1),"Resultado &gt;100% — indício de incompatibilidade numerador/denominador; ressalva de consistência, cálculo mantido. ","")&amp;IF(Sol_Alternativas!$J28="Sim","Água urbana validada e computada.","Água urbana não validada.")&amp;" "&amp;IF(Sol_Alternativas!$K28="Sim","Água rural validada e computada.","Água rural não validada.")</f>
        <v>Resultado &gt;100% — indício de incompatibilidade numerador/denominador; ressalva de consistência, cálculo mantido. Água urbana não validada. Água rural não validada.</v>
      </c>
    </row>
    <row r="30" spans="1:11" ht="15" customHeight="1" x14ac:dyDescent="0.35">
      <c r="A30" s="12" t="s">
        <v>137</v>
      </c>
      <c r="B30" s="12">
        <f>Base_SINISA_Agua!E29</f>
        <v>7381</v>
      </c>
      <c r="C30" s="13">
        <f>Base_SINISA_Agua!F29</f>
        <v>0</v>
      </c>
      <c r="D30" s="13">
        <f>Sol_Alternativas!N29</f>
        <v>0</v>
      </c>
      <c r="E30" s="13">
        <f>Sol_Alternativas!O29</f>
        <v>0</v>
      </c>
      <c r="F30" s="13">
        <f t="shared" si="0"/>
        <v>7381</v>
      </c>
      <c r="G30" s="13">
        <f>Base_Denominadores!C29</f>
        <v>9080</v>
      </c>
      <c r="H30" s="21">
        <f>IF(OR(Base_SINISA_Agua!$C29="Ausente",G30="",G30=0),"n.c.",F30/G30)</f>
        <v>0.81288546255506611</v>
      </c>
      <c r="I30" s="13" t="str">
        <f>IF(Base_SINISA_Agua!$C29="Ausente","Insatisfatório – prestador ausente",IF(OR(G30="",G30=0),"Não calculado – denominador ausente",IF(OR(Base_SINISA_Agua!$AD29="Inconsistente – residencial&gt;total",Base_SINISA_Agua!$AE29="Inconsistente – residencial&gt;total"),"Calculado com ressalva grave – inconsistência residencial/total na fonte",IF(COUNTBLANK(Base_SINISA_Agua!E29:F29)&gt;0,"Calculado com ressalva – parcela ausente = zero","Calculado"))))</f>
        <v>Calculado</v>
      </c>
      <c r="J30" s="13" t="str">
        <f t="shared" si="1"/>
        <v>Sim</v>
      </c>
      <c r="K30" s="13" t="str">
        <f>IF(AND(ISNUMBER(H30),H30&gt;1),"Resultado &gt;100% — indício de incompatibilidade numerador/denominador; ressalva de consistência, cálculo mantido. ","")&amp;IF(Sol_Alternativas!$J29="Sim","Água urbana validada e computada.","Água urbana não validada.")&amp;" "&amp;IF(Sol_Alternativas!$K29="Sim","Água rural validada e computada.","Água rural não validada.")</f>
        <v>Água urbana não validada. Água rural não validada.</v>
      </c>
    </row>
    <row r="31" spans="1:11" ht="15" customHeight="1" x14ac:dyDescent="0.35">
      <c r="A31" s="12" t="s">
        <v>138</v>
      </c>
      <c r="B31" s="12">
        <f>Base_SINISA_Agua!E30</f>
        <v>3124</v>
      </c>
      <c r="C31" s="13">
        <f>Base_SINISA_Agua!F30</f>
        <v>0</v>
      </c>
      <c r="D31" s="13">
        <f>Sol_Alternativas!N30</f>
        <v>0</v>
      </c>
      <c r="E31" s="13">
        <f>Sol_Alternativas!O30</f>
        <v>0</v>
      </c>
      <c r="F31" s="13">
        <f t="shared" si="0"/>
        <v>3124</v>
      </c>
      <c r="G31" s="13">
        <f>Base_Denominadores!C30</f>
        <v>4006</v>
      </c>
      <c r="H31" s="21">
        <f>IF(OR(Base_SINISA_Agua!$C30="Ausente",G31="",G31=0),"n.c.",F31/G31)</f>
        <v>0.77983025461807287</v>
      </c>
      <c r="I31" s="13" t="str">
        <f>IF(Base_SINISA_Agua!$C30="Ausente","Insatisfatório – prestador ausente",IF(OR(G31="",G31=0),"Não calculado – denominador ausente",IF(OR(Base_SINISA_Agua!$AD30="Inconsistente – residencial&gt;total",Base_SINISA_Agua!$AE30="Inconsistente – residencial&gt;total"),"Calculado com ressalva grave – inconsistência residencial/total na fonte",IF(COUNTBLANK(Base_SINISA_Agua!E30:F30)&gt;0,"Calculado com ressalva – parcela ausente = zero","Calculado"))))</f>
        <v>Calculado</v>
      </c>
      <c r="J31" s="13" t="str">
        <f t="shared" si="1"/>
        <v>Sim</v>
      </c>
      <c r="K31" s="13" t="str">
        <f>IF(AND(ISNUMBER(H31),H31&gt;1),"Resultado &gt;100% — indício de incompatibilidade numerador/denominador; ressalva de consistência, cálculo mantido. ","")&amp;IF(Sol_Alternativas!$J30="Sim","Água urbana validada e computada.","Água urbana não validada.")&amp;" "&amp;IF(Sol_Alternativas!$K30="Sim","Água rural validada e computada.","Água rural não validada.")</f>
        <v>Água urbana não validada. Água rural não validada.</v>
      </c>
    </row>
    <row r="32" spans="1:11" ht="15" customHeight="1" x14ac:dyDescent="0.35">
      <c r="A32" s="12" t="s">
        <v>139</v>
      </c>
      <c r="B32" s="12">
        <f>Base_SINISA_Agua!E31</f>
        <v>1739</v>
      </c>
      <c r="C32" s="13">
        <f>Base_SINISA_Agua!F31</f>
        <v>250</v>
      </c>
      <c r="D32" s="13">
        <f>Sol_Alternativas!N31</f>
        <v>0</v>
      </c>
      <c r="E32" s="13">
        <f>Sol_Alternativas!O31</f>
        <v>0</v>
      </c>
      <c r="F32" s="13">
        <f t="shared" si="0"/>
        <v>1989</v>
      </c>
      <c r="G32" s="13">
        <f>Base_Denominadores!C31</f>
        <v>0</v>
      </c>
      <c r="H32" s="21" t="str">
        <f>IF(OR(Base_SINISA_Agua!$C31="Ausente",G32="",G32=0),"n.c.",F32/G32)</f>
        <v>n.c.</v>
      </c>
      <c r="I32" s="13" t="str">
        <f>IF(Base_SINISA_Agua!$C31="Ausente","Insatisfatório – prestador ausente",IF(OR(G32="",G32=0),"Não calculado – denominador ausente",IF(OR(Base_SINISA_Agua!$AD31="Inconsistente – residencial&gt;total",Base_SINISA_Agua!$AE31="Inconsistente – residencial&gt;total"),"Calculado com ressalva grave – inconsistência residencial/total na fonte",IF(COUNTBLANK(Base_SINISA_Agua!E31:F31)&gt;0,"Calculado com ressalva – parcela ausente = zero","Calculado"))))</f>
        <v>Não calculado – denominador ausente</v>
      </c>
      <c r="J32" s="13" t="str">
        <f t="shared" si="1"/>
        <v>Não</v>
      </c>
      <c r="K32" s="13" t="str">
        <f>IF(AND(ISNUMBER(H32),H32&gt;1),"Resultado &gt;100% — indício de incompatibilidade numerador/denominador; ressalva de consistência, cálculo mantido. ","")&amp;IF(Sol_Alternativas!$J31="Sim","Água urbana validada e computada.","Água urbana não validada.")&amp;" "&amp;IF(Sol_Alternativas!$K31="Sim","Água rural validada e computada.","Água rural não validada.")</f>
        <v>Água urbana não validada. Água rural não validada.</v>
      </c>
    </row>
    <row r="33" spans="1:11" ht="15" customHeight="1" x14ac:dyDescent="0.35">
      <c r="A33" s="12" t="s">
        <v>141</v>
      </c>
      <c r="B33" s="12">
        <f>Base_SINISA_Agua!E32</f>
        <v>2494</v>
      </c>
      <c r="C33" s="13">
        <f>Base_SINISA_Agua!F32</f>
        <v>21</v>
      </c>
      <c r="D33" s="13">
        <f>Sol_Alternativas!N32</f>
        <v>0</v>
      </c>
      <c r="E33" s="13">
        <f>Sol_Alternativas!O32</f>
        <v>0</v>
      </c>
      <c r="F33" s="13">
        <f t="shared" si="0"/>
        <v>2515</v>
      </c>
      <c r="G33" s="13">
        <f>Base_Denominadores!C32</f>
        <v>2998</v>
      </c>
      <c r="H33" s="21">
        <f>IF(OR(Base_SINISA_Agua!$C32="Ausente",G33="",G33=0),"n.c.",F33/G33)</f>
        <v>0.83889259506337555</v>
      </c>
      <c r="I33" s="13" t="str">
        <f>IF(Base_SINISA_Agua!$C32="Ausente","Insatisfatório – prestador ausente",IF(OR(G33="",G33=0),"Não calculado – denominador ausente",IF(OR(Base_SINISA_Agua!$AD32="Inconsistente – residencial&gt;total",Base_SINISA_Agua!$AE32="Inconsistente – residencial&gt;total"),"Calculado com ressalva grave – inconsistência residencial/total na fonte",IF(COUNTBLANK(Base_SINISA_Agua!E32:F32)&gt;0,"Calculado com ressalva – parcela ausente = zero","Calculado"))))</f>
        <v>Calculado</v>
      </c>
      <c r="J33" s="13" t="str">
        <f t="shared" si="1"/>
        <v>Sim</v>
      </c>
      <c r="K33" s="13" t="str">
        <f>IF(AND(ISNUMBER(H33),H33&gt;1),"Resultado &gt;100% — indício de incompatibilidade numerador/denominador; ressalva de consistência, cálculo mantido. ","")&amp;IF(Sol_Alternativas!$J32="Sim","Água urbana validada e computada.","Água urbana não validada.")&amp;" "&amp;IF(Sol_Alternativas!$K32="Sim","Água rural validada e computada.","Água rural não validada.")</f>
        <v>Água urbana não validada. Água rural não validada.</v>
      </c>
    </row>
    <row r="34" spans="1:11" ht="15" customHeight="1" x14ac:dyDescent="0.35">
      <c r="A34" s="12" t="s">
        <v>142</v>
      </c>
      <c r="B34" s="12">
        <f>Base_SINISA_Agua!E33</f>
        <v>1462</v>
      </c>
      <c r="C34" s="13">
        <f>Base_SINISA_Agua!F33</f>
        <v>0</v>
      </c>
      <c r="D34" s="13">
        <f>Sol_Alternativas!N33</f>
        <v>0</v>
      </c>
      <c r="E34" s="13">
        <f>Sol_Alternativas!O33</f>
        <v>0</v>
      </c>
      <c r="F34" s="13">
        <f t="shared" si="0"/>
        <v>1462</v>
      </c>
      <c r="G34" s="13">
        <f>Base_Denominadores!C33</f>
        <v>1822</v>
      </c>
      <c r="H34" s="21">
        <f>IF(OR(Base_SINISA_Agua!$C33="Ausente",G34="",G34=0),"n.c.",F34/G34)</f>
        <v>0.80241492864983532</v>
      </c>
      <c r="I34" s="13" t="str">
        <f>IF(Base_SINISA_Agua!$C33="Ausente","Insatisfatório – prestador ausente",IF(OR(G34="",G34=0),"Não calculado – denominador ausente",IF(OR(Base_SINISA_Agua!$AD33="Inconsistente – residencial&gt;total",Base_SINISA_Agua!$AE33="Inconsistente – residencial&gt;total"),"Calculado com ressalva grave – inconsistência residencial/total na fonte",IF(COUNTBLANK(Base_SINISA_Agua!E33:F33)&gt;0,"Calculado com ressalva – parcela ausente = zero","Calculado"))))</f>
        <v>Calculado</v>
      </c>
      <c r="J34" s="13" t="str">
        <f t="shared" si="1"/>
        <v>Sim</v>
      </c>
      <c r="K34" s="13" t="str">
        <f>IF(AND(ISNUMBER(H34),H34&gt;1),"Resultado &gt;100% — indício de incompatibilidade numerador/denominador; ressalva de consistência, cálculo mantido. ","")&amp;IF(Sol_Alternativas!$J33="Sim","Água urbana validada e computada.","Água urbana não validada.")&amp;" "&amp;IF(Sol_Alternativas!$K33="Sim","Água rural validada e computada.","Água rural não validada.")</f>
        <v>Água urbana não validada. Água rural não validada.</v>
      </c>
    </row>
    <row r="35" spans="1:11" ht="15" customHeight="1" x14ac:dyDescent="0.35">
      <c r="A35" s="12" t="s">
        <v>144</v>
      </c>
      <c r="B35" s="12">
        <f>Base_SINISA_Agua!E34</f>
        <v>1113</v>
      </c>
      <c r="C35" s="13">
        <f>Base_SINISA_Agua!F34</f>
        <v>41</v>
      </c>
      <c r="D35" s="13">
        <f>Sol_Alternativas!N34</f>
        <v>0</v>
      </c>
      <c r="E35" s="13">
        <f>Sol_Alternativas!O34</f>
        <v>0</v>
      </c>
      <c r="F35" s="13">
        <f t="shared" si="0"/>
        <v>1154</v>
      </c>
      <c r="G35" s="13">
        <f>Base_Denominadores!C34</f>
        <v>0</v>
      </c>
      <c r="H35" s="21" t="str">
        <f>IF(OR(Base_SINISA_Agua!$C34="Ausente",G35="",G35=0),"n.c.",F35/G35)</f>
        <v>n.c.</v>
      </c>
      <c r="I35" s="13" t="str">
        <f>IF(Base_SINISA_Agua!$C34="Ausente","Insatisfatório – prestador ausente",IF(OR(G35="",G35=0),"Não calculado – denominador ausente",IF(OR(Base_SINISA_Agua!$AD34="Inconsistente – residencial&gt;total",Base_SINISA_Agua!$AE34="Inconsistente – residencial&gt;total"),"Calculado com ressalva grave – inconsistência residencial/total na fonte",IF(COUNTBLANK(Base_SINISA_Agua!E34:F34)&gt;0,"Calculado com ressalva – parcela ausente = zero","Calculado"))))</f>
        <v>Não calculado – denominador ausente</v>
      </c>
      <c r="J35" s="13" t="str">
        <f t="shared" si="1"/>
        <v>Não</v>
      </c>
      <c r="K35" s="13" t="str">
        <f>IF(AND(ISNUMBER(H35),H35&gt;1),"Resultado &gt;100% — indício de incompatibilidade numerador/denominador; ressalva de consistência, cálculo mantido. ","")&amp;IF(Sol_Alternativas!$J34="Sim","Água urbana validada e computada.","Água urbana não validada.")&amp;" "&amp;IF(Sol_Alternativas!$K34="Sim","Água rural validada e computada.","Água rural não validada.")</f>
        <v>Água urbana não validada. Água rural não validada.</v>
      </c>
    </row>
    <row r="36" spans="1:11" ht="15" customHeight="1" x14ac:dyDescent="0.35">
      <c r="A36" s="12" t="s">
        <v>146</v>
      </c>
      <c r="B36" s="12">
        <f>Base_SINISA_Agua!E35</f>
        <v>5436</v>
      </c>
      <c r="C36" s="13">
        <f>Base_SINISA_Agua!F35</f>
        <v>30</v>
      </c>
      <c r="D36" s="13">
        <f>Sol_Alternativas!N35</f>
        <v>0</v>
      </c>
      <c r="E36" s="13">
        <f>Sol_Alternativas!O35</f>
        <v>0</v>
      </c>
      <c r="F36" s="13">
        <f t="shared" si="0"/>
        <v>5466</v>
      </c>
      <c r="G36" s="13">
        <f>Base_Denominadores!C35</f>
        <v>6301</v>
      </c>
      <c r="H36" s="21">
        <f>IF(OR(Base_SINISA_Agua!$C35="Ausente",G36="",G36=0),"n.c.",F36/G36)</f>
        <v>0.86748135216632283</v>
      </c>
      <c r="I36" s="13" t="str">
        <f>IF(Base_SINISA_Agua!$C35="Ausente","Insatisfatório – prestador ausente",IF(OR(G36="",G36=0),"Não calculado – denominador ausente",IF(OR(Base_SINISA_Agua!$AD35="Inconsistente – residencial&gt;total",Base_SINISA_Agua!$AE35="Inconsistente – residencial&gt;total"),"Calculado com ressalva grave – inconsistência residencial/total na fonte",IF(COUNTBLANK(Base_SINISA_Agua!E35:F35)&gt;0,"Calculado com ressalva – parcela ausente = zero","Calculado"))))</f>
        <v>Calculado</v>
      </c>
      <c r="J36" s="13" t="str">
        <f t="shared" si="1"/>
        <v>Sim</v>
      </c>
      <c r="K36" s="13" t="str">
        <f>IF(AND(ISNUMBER(H36),H36&gt;1),"Resultado &gt;100% — indício de incompatibilidade numerador/denominador; ressalva de consistência, cálculo mantido. ","")&amp;IF(Sol_Alternativas!$J35="Sim","Água urbana validada e computada.","Água urbana não validada.")&amp;" "&amp;IF(Sol_Alternativas!$K35="Sim","Água rural validada e computada.","Água rural não validada.")</f>
        <v>Água urbana não validada. Água rural não validada.</v>
      </c>
    </row>
    <row r="37" spans="1:11" ht="15" customHeight="1" x14ac:dyDescent="0.35">
      <c r="A37" s="12" t="s">
        <v>148</v>
      </c>
      <c r="B37" s="12">
        <f>Base_SINISA_Agua!E36</f>
        <v>3110</v>
      </c>
      <c r="C37" s="13">
        <f>Base_SINISA_Agua!F36</f>
        <v>0</v>
      </c>
      <c r="D37" s="13">
        <f>Sol_Alternativas!N36</f>
        <v>0</v>
      </c>
      <c r="E37" s="13">
        <f>Sol_Alternativas!O36</f>
        <v>0</v>
      </c>
      <c r="F37" s="13">
        <f t="shared" si="0"/>
        <v>3110</v>
      </c>
      <c r="G37" s="13">
        <f>Base_Denominadores!C36</f>
        <v>0</v>
      </c>
      <c r="H37" s="21" t="str">
        <f>IF(OR(Base_SINISA_Agua!$C36="Ausente",G37="",G37=0),"n.c.",F37/G37)</f>
        <v>n.c.</v>
      </c>
      <c r="I37" s="13" t="str">
        <f>IF(Base_SINISA_Agua!$C36="Ausente","Insatisfatório – prestador ausente",IF(OR(G37="",G37=0),"Não calculado – denominador ausente",IF(OR(Base_SINISA_Agua!$AD36="Inconsistente – residencial&gt;total",Base_SINISA_Agua!$AE36="Inconsistente – residencial&gt;total"),"Calculado com ressalva grave – inconsistência residencial/total na fonte",IF(COUNTBLANK(Base_SINISA_Agua!E36:F36)&gt;0,"Calculado com ressalva – parcela ausente = zero","Calculado"))))</f>
        <v>Não calculado – denominador ausente</v>
      </c>
      <c r="J37" s="13" t="str">
        <f t="shared" si="1"/>
        <v>Não</v>
      </c>
      <c r="K37" s="13" t="str">
        <f>IF(AND(ISNUMBER(H37),H37&gt;1),"Resultado &gt;100% — indício de incompatibilidade numerador/denominador; ressalva de consistência, cálculo mantido. ","")&amp;IF(Sol_Alternativas!$J36="Sim","Água urbana validada e computada.","Água urbana não validada.")&amp;" "&amp;IF(Sol_Alternativas!$K36="Sim","Água rural validada e computada.","Água rural não validada.")</f>
        <v>Água urbana não validada. Água rural não validada.</v>
      </c>
    </row>
    <row r="38" spans="1:11" ht="15" customHeight="1" x14ac:dyDescent="0.35">
      <c r="A38" s="12" t="s">
        <v>149</v>
      </c>
      <c r="B38" s="12">
        <f>Base_SINISA_Agua!E37</f>
        <v>913</v>
      </c>
      <c r="C38" s="13">
        <f>Base_SINISA_Agua!F37</f>
        <v>0</v>
      </c>
      <c r="D38" s="13">
        <f>Sol_Alternativas!N37</f>
        <v>0</v>
      </c>
      <c r="E38" s="13">
        <f>Sol_Alternativas!O37</f>
        <v>0</v>
      </c>
      <c r="F38" s="13">
        <f t="shared" si="0"/>
        <v>913</v>
      </c>
      <c r="G38" s="13">
        <f>Base_Denominadores!C37</f>
        <v>1850</v>
      </c>
      <c r="H38" s="21">
        <f>IF(OR(Base_SINISA_Agua!$C37="Ausente",G38="",G38=0),"n.c.",F38/G38)</f>
        <v>0.49351351351351352</v>
      </c>
      <c r="I38" s="13" t="str">
        <f>IF(Base_SINISA_Agua!$C37="Ausente","Insatisfatório – prestador ausente",IF(OR(G38="",G38=0),"Não calculado – denominador ausente",IF(OR(Base_SINISA_Agua!$AD37="Inconsistente – residencial&gt;total",Base_SINISA_Agua!$AE37="Inconsistente – residencial&gt;total"),"Calculado com ressalva grave – inconsistência residencial/total na fonte",IF(COUNTBLANK(Base_SINISA_Agua!E37:F37)&gt;0,"Calculado com ressalva – parcela ausente = zero","Calculado"))))</f>
        <v>Calculado</v>
      </c>
      <c r="J38" s="13" t="str">
        <f t="shared" si="1"/>
        <v>Sim</v>
      </c>
      <c r="K38" s="13" t="str">
        <f>IF(AND(ISNUMBER(H38),H38&gt;1),"Resultado &gt;100% — indício de incompatibilidade numerador/denominador; ressalva de consistência, cálculo mantido. ","")&amp;IF(Sol_Alternativas!$J37="Sim","Água urbana validada e computada.","Água urbana não validada.")&amp;" "&amp;IF(Sol_Alternativas!$K37="Sim","Água rural validada e computada.","Água rural não validada.")</f>
        <v>Água urbana não validada. Água rural não validada.</v>
      </c>
    </row>
    <row r="39" spans="1:11" ht="15" customHeight="1" x14ac:dyDescent="0.35">
      <c r="A39" s="12" t="s">
        <v>150</v>
      </c>
      <c r="B39" s="12">
        <f>Base_SINISA_Agua!E38</f>
        <v>34364</v>
      </c>
      <c r="C39" s="13">
        <f>Base_SINISA_Agua!F38</f>
        <v>210</v>
      </c>
      <c r="D39" s="13">
        <f>Sol_Alternativas!N38</f>
        <v>0</v>
      </c>
      <c r="E39" s="13">
        <f>Sol_Alternativas!O38</f>
        <v>0</v>
      </c>
      <c r="F39" s="13">
        <f t="shared" si="0"/>
        <v>34574</v>
      </c>
      <c r="G39" s="13">
        <f>Base_Denominadores!C38</f>
        <v>30122</v>
      </c>
      <c r="H39" s="21">
        <f>IF(OR(Base_SINISA_Agua!$C38="Ausente",G39="",G39=0),"n.c.",F39/G39)</f>
        <v>1.147798950932873</v>
      </c>
      <c r="I39" s="13" t="str">
        <f>IF(Base_SINISA_Agua!$C38="Ausente","Insatisfatório – prestador ausente",IF(OR(G39="",G39=0),"Não calculado – denominador ausente",IF(OR(Base_SINISA_Agua!$AD38="Inconsistente – residencial&gt;total",Base_SINISA_Agua!$AE38="Inconsistente – residencial&gt;total"),"Calculado com ressalva grave – inconsistência residencial/total na fonte",IF(COUNTBLANK(Base_SINISA_Agua!E38:F38)&gt;0,"Calculado com ressalva – parcela ausente = zero","Calculado"))))</f>
        <v>Calculado</v>
      </c>
      <c r="J39" s="13" t="str">
        <f t="shared" si="1"/>
        <v>Sim</v>
      </c>
      <c r="K39" s="13" t="str">
        <f>IF(AND(ISNUMBER(H39),H39&gt;1),"Resultado &gt;100% — indício de incompatibilidade numerador/denominador; ressalva de consistência, cálculo mantido. ","")&amp;IF(Sol_Alternativas!$J38="Sim","Água urbana validada e computada.","Água urbana não validada.")&amp;" "&amp;IF(Sol_Alternativas!$K38="Sim","Água rural validada e computada.","Água rural não validada.")</f>
        <v>Resultado &gt;100% — indício de incompatibilidade numerador/denominador; ressalva de consistência, cálculo mantido. Água urbana não validada. Água rural não validada.</v>
      </c>
    </row>
    <row r="40" spans="1:11" ht="15" customHeight="1" x14ac:dyDescent="0.35">
      <c r="A40" s="12" t="s">
        <v>151</v>
      </c>
      <c r="B40" s="12">
        <f>Base_SINISA_Agua!E39</f>
        <v>91349</v>
      </c>
      <c r="C40" s="13">
        <f>Base_SINISA_Agua!F39</f>
        <v>5024</v>
      </c>
      <c r="D40" s="13">
        <f>Sol_Alternativas!N39</f>
        <v>0</v>
      </c>
      <c r="E40" s="13">
        <f>Sol_Alternativas!O39</f>
        <v>0</v>
      </c>
      <c r="F40" s="13">
        <f t="shared" si="0"/>
        <v>96373</v>
      </c>
      <c r="G40" s="13">
        <f>Base_Denominadores!C39</f>
        <v>0</v>
      </c>
      <c r="H40" s="21" t="str">
        <f>IF(OR(Base_SINISA_Agua!$C39="Ausente",G40="",G40=0),"n.c.",F40/G40)</f>
        <v>n.c.</v>
      </c>
      <c r="I40" s="13" t="str">
        <f>IF(Base_SINISA_Agua!$C39="Ausente","Insatisfatório – prestador ausente",IF(OR(G40="",G40=0),"Não calculado – denominador ausente",IF(OR(Base_SINISA_Agua!$AD39="Inconsistente – residencial&gt;total",Base_SINISA_Agua!$AE39="Inconsistente – residencial&gt;total"),"Calculado com ressalva grave – inconsistência residencial/total na fonte",IF(COUNTBLANK(Base_SINISA_Agua!E39:F39)&gt;0,"Calculado com ressalva – parcela ausente = zero","Calculado"))))</f>
        <v>Não calculado – denominador ausente</v>
      </c>
      <c r="J40" s="13" t="str">
        <f t="shared" si="1"/>
        <v>Não</v>
      </c>
      <c r="K40" s="13" t="str">
        <f>IF(AND(ISNUMBER(H40),H40&gt;1),"Resultado &gt;100% — indício de incompatibilidade numerador/denominador; ressalva de consistência, cálculo mantido. ","")&amp;IF(Sol_Alternativas!$J39="Sim","Água urbana validada e computada.","Água urbana não validada.")&amp;" "&amp;IF(Sol_Alternativas!$K39="Sim","Água rural validada e computada.","Água rural não validada.")</f>
        <v>Água urbana não validada. Água rural não validada.</v>
      </c>
    </row>
    <row r="41" spans="1:11" ht="15" customHeight="1" x14ac:dyDescent="0.35">
      <c r="A41" s="12" t="s">
        <v>153</v>
      </c>
      <c r="B41" s="12">
        <f>Base_SINISA_Agua!E40</f>
        <v>4420</v>
      </c>
      <c r="C41" s="13">
        <f>Base_SINISA_Agua!F40</f>
        <v>84</v>
      </c>
      <c r="D41" s="13">
        <f>Sol_Alternativas!N40</f>
        <v>0</v>
      </c>
      <c r="E41" s="13">
        <f>Sol_Alternativas!O40</f>
        <v>0</v>
      </c>
      <c r="F41" s="13">
        <f t="shared" si="0"/>
        <v>4504</v>
      </c>
      <c r="G41" s="13">
        <f>Base_Denominadores!C40</f>
        <v>0</v>
      </c>
      <c r="H41" s="21" t="str">
        <f>IF(OR(Base_SINISA_Agua!$C40="Ausente",G41="",G41=0),"n.c.",F41/G41)</f>
        <v>n.c.</v>
      </c>
      <c r="I41" s="13" t="str">
        <f>IF(Base_SINISA_Agua!$C40="Ausente","Insatisfatório – prestador ausente",IF(OR(G41="",G41=0),"Não calculado – denominador ausente",IF(OR(Base_SINISA_Agua!$AD40="Inconsistente – residencial&gt;total",Base_SINISA_Agua!$AE40="Inconsistente – residencial&gt;total"),"Calculado com ressalva grave – inconsistência residencial/total na fonte",IF(COUNTBLANK(Base_SINISA_Agua!E40:F40)&gt;0,"Calculado com ressalva – parcela ausente = zero","Calculado"))))</f>
        <v>Não calculado – denominador ausente</v>
      </c>
      <c r="J41" s="13" t="str">
        <f t="shared" si="1"/>
        <v>Não</v>
      </c>
      <c r="K41" s="13" t="str">
        <f>IF(AND(ISNUMBER(H41),H41&gt;1),"Resultado &gt;100% — indício de incompatibilidade numerador/denominador; ressalva de consistência, cálculo mantido. ","")&amp;IF(Sol_Alternativas!$J40="Sim","Água urbana validada e computada.","Água urbana não validada.")&amp;" "&amp;IF(Sol_Alternativas!$K40="Sim","Água rural validada e computada.","Água rural não validada.")</f>
        <v>Água urbana não validada. Água rural não validada.</v>
      </c>
    </row>
    <row r="42" spans="1:11" ht="15" customHeight="1" x14ac:dyDescent="0.35">
      <c r="A42" s="12" t="s">
        <v>155</v>
      </c>
      <c r="B42" s="12">
        <f>Base_SINISA_Agua!E41</f>
        <v>1637</v>
      </c>
      <c r="C42" s="13">
        <f>Base_SINISA_Agua!F41</f>
        <v>9</v>
      </c>
      <c r="D42" s="13">
        <f>Sol_Alternativas!N41</f>
        <v>0</v>
      </c>
      <c r="E42" s="13">
        <f>Sol_Alternativas!O41</f>
        <v>0</v>
      </c>
      <c r="F42" s="13">
        <f t="shared" si="0"/>
        <v>1646</v>
      </c>
      <c r="G42" s="13">
        <f>Base_Denominadores!C41</f>
        <v>0</v>
      </c>
      <c r="H42" s="21" t="str">
        <f>IF(OR(Base_SINISA_Agua!$C41="Ausente",G42="",G42=0),"n.c.",F42/G42)</f>
        <v>n.c.</v>
      </c>
      <c r="I42" s="13" t="str">
        <f>IF(Base_SINISA_Agua!$C41="Ausente","Insatisfatório – prestador ausente",IF(OR(G42="",G42=0),"Não calculado – denominador ausente",IF(OR(Base_SINISA_Agua!$AD41="Inconsistente – residencial&gt;total",Base_SINISA_Agua!$AE41="Inconsistente – residencial&gt;total"),"Calculado com ressalva grave – inconsistência residencial/total na fonte",IF(COUNTBLANK(Base_SINISA_Agua!E41:F41)&gt;0,"Calculado com ressalva – parcela ausente = zero","Calculado"))))</f>
        <v>Não calculado – denominador ausente</v>
      </c>
      <c r="J42" s="13" t="str">
        <f t="shared" si="1"/>
        <v>Não</v>
      </c>
      <c r="K42" s="13" t="str">
        <f>IF(AND(ISNUMBER(H42),H42&gt;1),"Resultado &gt;100% — indício de incompatibilidade numerador/denominador; ressalva de consistência, cálculo mantido. ","")&amp;IF(Sol_Alternativas!$J41="Sim","Água urbana validada e computada.","Água urbana não validada.")&amp;" "&amp;IF(Sol_Alternativas!$K41="Sim","Água rural validada e computada.","Água rural não validada.")</f>
        <v>Água urbana não validada. Água rural não validada.</v>
      </c>
    </row>
    <row r="43" spans="1:11" ht="15" customHeight="1" x14ac:dyDescent="0.35">
      <c r="A43" s="12" t="s">
        <v>157</v>
      </c>
      <c r="B43" s="12">
        <f>Base_SINISA_Agua!E42</f>
        <v>2000</v>
      </c>
      <c r="C43" s="13">
        <f>Base_SINISA_Agua!F42</f>
        <v>45</v>
      </c>
      <c r="D43" s="13">
        <f>Sol_Alternativas!N42</f>
        <v>0</v>
      </c>
      <c r="E43" s="13">
        <f>Sol_Alternativas!O42</f>
        <v>0</v>
      </c>
      <c r="F43" s="13">
        <f t="shared" si="0"/>
        <v>2045</v>
      </c>
      <c r="G43" s="13">
        <f>Base_Denominadores!C42</f>
        <v>0</v>
      </c>
      <c r="H43" s="21" t="str">
        <f>IF(OR(Base_SINISA_Agua!$C42="Ausente",G43="",G43=0),"n.c.",F43/G43)</f>
        <v>n.c.</v>
      </c>
      <c r="I43" s="13" t="str">
        <f>IF(Base_SINISA_Agua!$C42="Ausente","Insatisfatório – prestador ausente",IF(OR(G43="",G43=0),"Não calculado – denominador ausente",IF(OR(Base_SINISA_Agua!$AD42="Inconsistente – residencial&gt;total",Base_SINISA_Agua!$AE42="Inconsistente – residencial&gt;total"),"Calculado com ressalva grave – inconsistência residencial/total na fonte",IF(COUNTBLANK(Base_SINISA_Agua!E42:F42)&gt;0,"Calculado com ressalva – parcela ausente = zero","Calculado"))))</f>
        <v>Não calculado – denominador ausente</v>
      </c>
      <c r="J43" s="13" t="str">
        <f t="shared" si="1"/>
        <v>Não</v>
      </c>
      <c r="K43" s="13" t="str">
        <f>IF(AND(ISNUMBER(H43),H43&gt;1),"Resultado &gt;100% — indício de incompatibilidade numerador/denominador; ressalva de consistência, cálculo mantido. ","")&amp;IF(Sol_Alternativas!$J42="Sim","Água urbana validada e computada.","Água urbana não validada.")&amp;" "&amp;IF(Sol_Alternativas!$K42="Sim","Água rural validada e computada.","Água rural não validada.")</f>
        <v>Água urbana não validada. Água rural não validada.</v>
      </c>
    </row>
    <row r="45" spans="1:11" ht="33.75" customHeight="1" x14ac:dyDescent="0.35">
      <c r="A45" s="2" t="s">
        <v>232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45.75" customHeight="1" x14ac:dyDescent="0.35">
      <c r="A46" s="20" t="s">
        <v>64</v>
      </c>
      <c r="B46" s="20" t="s">
        <v>233</v>
      </c>
      <c r="C46" s="20" t="s">
        <v>234</v>
      </c>
      <c r="D46" s="20" t="s">
        <v>235</v>
      </c>
      <c r="E46" s="20" t="s">
        <v>236</v>
      </c>
      <c r="F46" s="20" t="s">
        <v>226</v>
      </c>
      <c r="G46" s="20" t="s">
        <v>237</v>
      </c>
      <c r="H46" s="20" t="s">
        <v>238</v>
      </c>
      <c r="I46" s="20" t="s">
        <v>229</v>
      </c>
      <c r="J46" s="20" t="s">
        <v>230</v>
      </c>
      <c r="K46" s="20" t="s">
        <v>231</v>
      </c>
    </row>
    <row r="47" spans="1:11" ht="15" customHeight="1" x14ac:dyDescent="0.35">
      <c r="A47" s="12" t="s">
        <v>94</v>
      </c>
      <c r="B47" s="12">
        <f>Base_SINISA_Agua!G3+Base_SINISA_Agua!H3</f>
        <v>3904</v>
      </c>
      <c r="C47" s="13">
        <f>Base_SINISA_Agua!I3</f>
        <v>283</v>
      </c>
      <c r="D47" s="13">
        <f>Base_SINISA_Agua!J3</f>
        <v>0</v>
      </c>
      <c r="E47" s="13">
        <f>Sol_Alternativas!N3+Sol_Alternativas!O3</f>
        <v>0</v>
      </c>
      <c r="F47" s="13">
        <f t="shared" ref="F47:F86" si="2">SUM(B47:E47)</f>
        <v>4187</v>
      </c>
      <c r="G47" s="13">
        <f>Base_Denominadores!F3</f>
        <v>0</v>
      </c>
      <c r="H47" s="21" t="str">
        <f>IF(Base_SINISA_Agua!$C3="Ausente","n.c.",IF(OR(G47="",G47=0),"n.c.",IF(Base_Denominadores!$J3&lt;&gt;"OK","n.c.",F47/G47)))</f>
        <v>n.c.</v>
      </c>
      <c r="I47" s="13" t="str">
        <f>IF(Base_SINISA_Agua!$C3="Ausente","Insatisfatório – prestador ausente",IF(OR(G47="",G47=0),"Não calculado – denominador ausente",IF(Base_Denominadores!$J3&lt;&gt;"OK","Não avaliável – denominador incoerente (ver auditoria)",IF(OR(Base_SINISA_Agua!$AD3="Inconsistente – residencial&gt;total",Base_SINISA_Agua!$AE3="Inconsistente – residencial&gt;total"),"Calculado com ressalva grave – inconsistência residencial/total na fonte",IF(COUNTBLANK(Base_SINISA_Agua!G3:J3)&gt;0,"Calculado com ressalva – parcela ausente = zero","Calculado")))))</f>
        <v>Não calculado – denominador ausente</v>
      </c>
      <c r="J47" s="13" t="str">
        <f t="shared" ref="J47:J86" si="3">IF(I47="Calculado","Sim","Não")</f>
        <v>Não</v>
      </c>
      <c r="K47" s="13" t="str">
        <f t="shared" ref="K47:K86" si="4">IF(AND(ISNUMBER(H47),H47&gt;1),"Resultado &gt;100% — indício de incompatibilidade numerador/denominador; ressalva de consistência, cálculo mantido. ","")&amp;"Sol. alternativa p/ não residenciais: sem campo no SINISA, computado como zero."</f>
        <v>Sol. alternativa p/ não residenciais: sem campo no SINISA, computado como zero.</v>
      </c>
    </row>
    <row r="48" spans="1:11" ht="15" customHeight="1" x14ac:dyDescent="0.35">
      <c r="A48" s="12" t="s">
        <v>97</v>
      </c>
      <c r="B48" s="12">
        <f>Base_SINISA_Agua!G4+Base_SINISA_Agua!H4</f>
        <v>2064</v>
      </c>
      <c r="C48" s="13">
        <f>Base_SINISA_Agua!I4</f>
        <v>4</v>
      </c>
      <c r="D48" s="13">
        <f>Base_SINISA_Agua!J4</f>
        <v>0</v>
      </c>
      <c r="E48" s="13">
        <f>Sol_Alternativas!N4+Sol_Alternativas!O4</f>
        <v>0</v>
      </c>
      <c r="F48" s="13">
        <f t="shared" si="2"/>
        <v>2068</v>
      </c>
      <c r="G48" s="13">
        <f>Base_Denominadores!F4</f>
        <v>2035</v>
      </c>
      <c r="H48" s="21">
        <f>IF(Base_SINISA_Agua!$C4="Ausente","n.c.",IF(OR(G48="",G48=0),"n.c.",IF(Base_Denominadores!$J4&lt;&gt;"OK","n.c.",F48/G48)))</f>
        <v>1.0162162162162163</v>
      </c>
      <c r="I48" s="13" t="str">
        <f>IF(Base_SINISA_Agua!$C4="Ausente","Insatisfatório – prestador ausente",IF(OR(G48="",G48=0),"Não calculado – denominador ausente",IF(Base_Denominadores!$J4&lt;&gt;"OK","Não avaliável – denominador incoerente (ver auditoria)",IF(OR(Base_SINISA_Agua!$AD4="Inconsistente – residencial&gt;total",Base_SINISA_Agua!$AE4="Inconsistente – residencial&gt;total"),"Calculado com ressalva grave – inconsistência residencial/total na fonte",IF(COUNTBLANK(Base_SINISA_Agua!G4:J4)&gt;0,"Calculado com ressalva – parcela ausente = zero","Calculado")))))</f>
        <v>Calculado</v>
      </c>
      <c r="J48" s="13" t="str">
        <f t="shared" si="3"/>
        <v>Sim</v>
      </c>
      <c r="K48" s="13" t="str">
        <f t="shared" si="4"/>
        <v>Resultado &gt;100% — indício de incompatibilidade numerador/denominador; ressalva de consistência, cálculo mantido. Sol. alternativa p/ não residenciais: sem campo no SINISA, computado como zero.</v>
      </c>
    </row>
    <row r="49" spans="1:11" ht="15" customHeight="1" x14ac:dyDescent="0.35">
      <c r="A49" s="12" t="s">
        <v>99</v>
      </c>
      <c r="B49" s="12">
        <f>Base_SINISA_Agua!G5+Base_SINISA_Agua!H5</f>
        <v>9789</v>
      </c>
      <c r="C49" s="13">
        <f>Base_SINISA_Agua!I5</f>
        <v>2419</v>
      </c>
      <c r="D49" s="13">
        <f>Base_SINISA_Agua!J5</f>
        <v>0</v>
      </c>
      <c r="E49" s="13">
        <f>Sol_Alternativas!N5+Sol_Alternativas!O5</f>
        <v>0</v>
      </c>
      <c r="F49" s="13">
        <f t="shared" si="2"/>
        <v>12208</v>
      </c>
      <c r="G49" s="13">
        <f>Base_Denominadores!F5</f>
        <v>12587</v>
      </c>
      <c r="H49" s="21">
        <f>IF(Base_SINISA_Agua!$C5="Ausente","n.c.",IF(OR(G49="",G49=0),"n.c.",IF(Base_Denominadores!$J5&lt;&gt;"OK","n.c.",F49/G49)))</f>
        <v>0.9698895686025264</v>
      </c>
      <c r="I49" s="13" t="str">
        <f>IF(Base_SINISA_Agua!$C5="Ausente","Insatisfatório – prestador ausente",IF(OR(G49="",G49=0),"Não calculado – denominador ausente",IF(Base_Denominadores!$J5&lt;&gt;"OK","Não avaliável – denominador incoerente (ver auditoria)",IF(OR(Base_SINISA_Agua!$AD5="Inconsistente – residencial&gt;total",Base_SINISA_Agua!$AE5="Inconsistente – residencial&gt;total"),"Calculado com ressalva grave – inconsistência residencial/total na fonte",IF(COUNTBLANK(Base_SINISA_Agua!G5:J5)&gt;0,"Calculado com ressalva – parcela ausente = zero","Calculado")))))</f>
        <v>Calculado</v>
      </c>
      <c r="J49" s="13" t="str">
        <f t="shared" si="3"/>
        <v>Sim</v>
      </c>
      <c r="K49" s="13" t="str">
        <f t="shared" si="4"/>
        <v>Sol. alternativa p/ não residenciais: sem campo no SINISA, computado como zero.</v>
      </c>
    </row>
    <row r="50" spans="1:11" ht="15" customHeight="1" x14ac:dyDescent="0.35">
      <c r="A50" s="12" t="s">
        <v>100</v>
      </c>
      <c r="B50" s="12">
        <f>Base_SINISA_Agua!G6+Base_SINISA_Agua!H6</f>
        <v>1073</v>
      </c>
      <c r="C50" s="13">
        <f>Base_SINISA_Agua!I6</f>
        <v>0</v>
      </c>
      <c r="D50" s="13">
        <f>Base_SINISA_Agua!J6</f>
        <v>0</v>
      </c>
      <c r="E50" s="13">
        <f>Sol_Alternativas!N6+Sol_Alternativas!O6</f>
        <v>0</v>
      </c>
      <c r="F50" s="13">
        <f t="shared" si="2"/>
        <v>1073</v>
      </c>
      <c r="G50" s="13">
        <f>Base_Denominadores!F6</f>
        <v>0</v>
      </c>
      <c r="H50" s="21" t="str">
        <f>IF(Base_SINISA_Agua!$C6="Ausente","n.c.",IF(OR(G50="",G50=0),"n.c.",IF(Base_Denominadores!$J6&lt;&gt;"OK","n.c.",F50/G50)))</f>
        <v>n.c.</v>
      </c>
      <c r="I50" s="13" t="str">
        <f>IF(Base_SINISA_Agua!$C6="Ausente","Insatisfatório – prestador ausente",IF(OR(G50="",G50=0),"Não calculado – denominador ausente",IF(Base_Denominadores!$J6&lt;&gt;"OK","Não avaliável – denominador incoerente (ver auditoria)",IF(OR(Base_SINISA_Agua!$AD6="Inconsistente – residencial&gt;total",Base_SINISA_Agua!$AE6="Inconsistente – residencial&gt;total"),"Calculado com ressalva grave – inconsistência residencial/total na fonte",IF(COUNTBLANK(Base_SINISA_Agua!G6:J6)&gt;0,"Calculado com ressalva – parcela ausente = zero","Calculado")))))</f>
        <v>Não calculado – denominador ausente</v>
      </c>
      <c r="J50" s="13" t="str">
        <f t="shared" si="3"/>
        <v>Não</v>
      </c>
      <c r="K50" s="13" t="str">
        <f t="shared" si="4"/>
        <v>Sol. alternativa p/ não residenciais: sem campo no SINISA, computado como zero.</v>
      </c>
    </row>
    <row r="51" spans="1:11" ht="15" customHeight="1" x14ac:dyDescent="0.35">
      <c r="A51" s="12" t="s">
        <v>102</v>
      </c>
      <c r="B51" s="12">
        <f>Base_SINISA_Agua!G7+Base_SINISA_Agua!H7</f>
        <v>1072</v>
      </c>
      <c r="C51" s="13">
        <f>Base_SINISA_Agua!I7</f>
        <v>10</v>
      </c>
      <c r="D51" s="13">
        <f>Base_SINISA_Agua!J7</f>
        <v>0</v>
      </c>
      <c r="E51" s="13">
        <f>Sol_Alternativas!N7+Sol_Alternativas!O7</f>
        <v>0</v>
      </c>
      <c r="F51" s="13">
        <f t="shared" si="2"/>
        <v>1082</v>
      </c>
      <c r="G51" s="13">
        <f>Base_Denominadores!F7</f>
        <v>0</v>
      </c>
      <c r="H51" s="21" t="str">
        <f>IF(Base_SINISA_Agua!$C7="Ausente","n.c.",IF(OR(G51="",G51=0),"n.c.",IF(Base_Denominadores!$J7&lt;&gt;"OK","n.c.",F51/G51)))</f>
        <v>n.c.</v>
      </c>
      <c r="I51" s="13" t="str">
        <f>IF(Base_SINISA_Agua!$C7="Ausente","Insatisfatório – prestador ausente",IF(OR(G51="",G51=0),"Não calculado – denominador ausente",IF(Base_Denominadores!$J7&lt;&gt;"OK","Não avaliável – denominador incoerente (ver auditoria)",IF(OR(Base_SINISA_Agua!$AD7="Inconsistente – residencial&gt;total",Base_SINISA_Agua!$AE7="Inconsistente – residencial&gt;total"),"Calculado com ressalva grave – inconsistência residencial/total na fonte",IF(COUNTBLANK(Base_SINISA_Agua!G7:J7)&gt;0,"Calculado com ressalva – parcela ausente = zero","Calculado")))))</f>
        <v>Não calculado – denominador ausente</v>
      </c>
      <c r="J51" s="13" t="str">
        <f t="shared" si="3"/>
        <v>Não</v>
      </c>
      <c r="K51" s="13" t="str">
        <f t="shared" si="4"/>
        <v>Sol. alternativa p/ não residenciais: sem campo no SINISA, computado como zero.</v>
      </c>
    </row>
    <row r="52" spans="1:11" ht="15" customHeight="1" x14ac:dyDescent="0.35">
      <c r="A52" s="12" t="s">
        <v>104</v>
      </c>
      <c r="B52" s="12">
        <f>Base_SINISA_Agua!G8+Base_SINISA_Agua!H8</f>
        <v>13065</v>
      </c>
      <c r="C52" s="13">
        <f>Base_SINISA_Agua!I8</f>
        <v>1626</v>
      </c>
      <c r="D52" s="13">
        <f>Base_SINISA_Agua!J8</f>
        <v>0</v>
      </c>
      <c r="E52" s="13">
        <f>Sol_Alternativas!N8+Sol_Alternativas!O8</f>
        <v>0</v>
      </c>
      <c r="F52" s="13">
        <f t="shared" si="2"/>
        <v>14691</v>
      </c>
      <c r="G52" s="13">
        <f>Base_Denominadores!F8</f>
        <v>10517</v>
      </c>
      <c r="H52" s="21" t="str">
        <f>IF(Base_SINISA_Agua!$C8="Ausente","n.c.",IF(OR(G52="",G52=0),"n.c.",IF(Base_Denominadores!$J8&lt;&gt;"OK","n.c.",F52/G52)))</f>
        <v>n.c.</v>
      </c>
      <c r="I52" s="13" t="str">
        <f>IF(Base_SINISA_Agua!$C8="Ausente","Insatisfatório – prestador ausente",IF(OR(G52="",G52=0),"Não calculado – denominador ausente",IF(Base_Denominadores!$J8&lt;&gt;"OK","Não avaliável – denominador incoerente (ver auditoria)",IF(OR(Base_SINISA_Agua!$AD8="Inconsistente – residencial&gt;total",Base_SINISA_Agua!$AE8="Inconsistente – residencial&gt;total"),"Calculado com ressalva grave – inconsistência residencial/total na fonte",IF(COUNTBLANK(Base_SINISA_Agua!G8:J8)&gt;0,"Calculado com ressalva – parcela ausente = zero","Calculado")))))</f>
        <v>Não avaliável – denominador incoerente (ver auditoria)</v>
      </c>
      <c r="J52" s="13" t="str">
        <f t="shared" si="3"/>
        <v>Não</v>
      </c>
      <c r="K52" s="13" t="str">
        <f t="shared" si="4"/>
        <v>Sol. alternativa p/ não residenciais: sem campo no SINISA, computado como zero.</v>
      </c>
    </row>
    <row r="53" spans="1:11" ht="15" customHeight="1" x14ac:dyDescent="0.35">
      <c r="A53" s="12" t="s">
        <v>106</v>
      </c>
      <c r="B53" s="12">
        <f>Base_SINISA_Agua!G9+Base_SINISA_Agua!H9</f>
        <v>0</v>
      </c>
      <c r="C53" s="13">
        <f>Base_SINISA_Agua!I9</f>
        <v>0</v>
      </c>
      <c r="D53" s="13">
        <f>Base_SINISA_Agua!J9</f>
        <v>0</v>
      </c>
      <c r="E53" s="13">
        <f>Sol_Alternativas!N9+Sol_Alternativas!O9</f>
        <v>0</v>
      </c>
      <c r="F53" s="13">
        <f t="shared" si="2"/>
        <v>0</v>
      </c>
      <c r="G53" s="13">
        <f>Base_Denominadores!F9</f>
        <v>0</v>
      </c>
      <c r="H53" s="21" t="str">
        <f>IF(Base_SINISA_Agua!$C9="Ausente","n.c.",IF(OR(G53="",G53=0),"n.c.",IF(Base_Denominadores!$J9&lt;&gt;"OK","n.c.",F53/G53)))</f>
        <v>n.c.</v>
      </c>
      <c r="I53" s="13" t="str">
        <f>IF(Base_SINISA_Agua!$C9="Ausente","Insatisfatório – prestador ausente",IF(OR(G53="",G53=0),"Não calculado – denominador ausente",IF(Base_Denominadores!$J9&lt;&gt;"OK","Não avaliável – denominador incoerente (ver auditoria)",IF(OR(Base_SINISA_Agua!$AD9="Inconsistente – residencial&gt;total",Base_SINISA_Agua!$AE9="Inconsistente – residencial&gt;total"),"Calculado com ressalva grave – inconsistência residencial/total na fonte",IF(COUNTBLANK(Base_SINISA_Agua!G9:J9)&gt;0,"Calculado com ressalva – parcela ausente = zero","Calculado")))))</f>
        <v>Insatisfatório – prestador ausente</v>
      </c>
      <c r="J53" s="13" t="str">
        <f t="shared" si="3"/>
        <v>Não</v>
      </c>
      <c r="K53" s="13" t="str">
        <f t="shared" si="4"/>
        <v>Sol. alternativa p/ não residenciais: sem campo no SINISA, computado como zero.</v>
      </c>
    </row>
    <row r="54" spans="1:11" ht="15" customHeight="1" x14ac:dyDescent="0.35">
      <c r="A54" s="12" t="s">
        <v>108</v>
      </c>
      <c r="B54" s="12">
        <f>Base_SINISA_Agua!G10+Base_SINISA_Agua!H10</f>
        <v>8571</v>
      </c>
      <c r="C54" s="13">
        <f>Base_SINISA_Agua!I10</f>
        <v>0</v>
      </c>
      <c r="D54" s="13">
        <f>Base_SINISA_Agua!J10</f>
        <v>0</v>
      </c>
      <c r="E54" s="13">
        <f>Sol_Alternativas!N10+Sol_Alternativas!O10</f>
        <v>0</v>
      </c>
      <c r="F54" s="13">
        <f t="shared" si="2"/>
        <v>8571</v>
      </c>
      <c r="G54" s="13">
        <f>Base_Denominadores!F10</f>
        <v>7595</v>
      </c>
      <c r="H54" s="21" t="str">
        <f>IF(Base_SINISA_Agua!$C10="Ausente","n.c.",IF(OR(G54="",G54=0),"n.c.",IF(Base_Denominadores!$J10&lt;&gt;"OK","n.c.",F54/G54)))</f>
        <v>n.c.</v>
      </c>
      <c r="I54" s="13" t="str">
        <f>IF(Base_SINISA_Agua!$C10="Ausente","Insatisfatório – prestador ausente",IF(OR(G54="",G54=0),"Não calculado – denominador ausente",IF(Base_Denominadores!$J10&lt;&gt;"OK","Não avaliável – denominador incoerente (ver auditoria)",IF(OR(Base_SINISA_Agua!$AD10="Inconsistente – residencial&gt;total",Base_SINISA_Agua!$AE10="Inconsistente – residencial&gt;total"),"Calculado com ressalva grave – inconsistência residencial/total na fonte",IF(COUNTBLANK(Base_SINISA_Agua!G10:J10)&gt;0,"Calculado com ressalva – parcela ausente = zero","Calculado")))))</f>
        <v>Não avaliável – denominador incoerente (ver auditoria)</v>
      </c>
      <c r="J54" s="13" t="str">
        <f t="shared" si="3"/>
        <v>Não</v>
      </c>
      <c r="K54" s="13" t="str">
        <f t="shared" si="4"/>
        <v>Sol. alternativa p/ não residenciais: sem campo no SINISA, computado como zero.</v>
      </c>
    </row>
    <row r="55" spans="1:11" ht="15" customHeight="1" x14ac:dyDescent="0.35">
      <c r="A55" s="12" t="s">
        <v>109</v>
      </c>
      <c r="B55" s="12">
        <f>Base_SINISA_Agua!G11+Base_SINISA_Agua!H11</f>
        <v>123308</v>
      </c>
      <c r="C55" s="13">
        <f>Base_SINISA_Agua!I11</f>
        <v>22917</v>
      </c>
      <c r="D55" s="13">
        <f>Base_SINISA_Agua!J11</f>
        <v>179</v>
      </c>
      <c r="E55" s="13">
        <f>Sol_Alternativas!N11+Sol_Alternativas!O11</f>
        <v>0</v>
      </c>
      <c r="F55" s="13">
        <f t="shared" si="2"/>
        <v>146404</v>
      </c>
      <c r="G55" s="13">
        <f>Base_Denominadores!F11</f>
        <v>144207</v>
      </c>
      <c r="H55" s="21">
        <f>IF(Base_SINISA_Agua!$C11="Ausente","n.c.",IF(OR(G55="",G55=0),"n.c.",IF(Base_Denominadores!$J11&lt;&gt;"OK","n.c.",F55/G55)))</f>
        <v>1.0152350440685958</v>
      </c>
      <c r="I55" s="13" t="str">
        <f>IF(Base_SINISA_Agua!$C11="Ausente","Insatisfatório – prestador ausente",IF(OR(G55="",G55=0),"Não calculado – denominador ausente",IF(Base_Denominadores!$J11&lt;&gt;"OK","Não avaliável – denominador incoerente (ver auditoria)",IF(OR(Base_SINISA_Agua!$AD11="Inconsistente – residencial&gt;total",Base_SINISA_Agua!$AE11="Inconsistente – residencial&gt;total"),"Calculado com ressalva grave – inconsistência residencial/total na fonte",IF(COUNTBLANK(Base_SINISA_Agua!G11:J11)&gt;0,"Calculado com ressalva – parcela ausente = zero","Calculado")))))</f>
        <v>Calculado</v>
      </c>
      <c r="J55" s="13" t="str">
        <f t="shared" si="3"/>
        <v>Sim</v>
      </c>
      <c r="K55" s="13" t="str">
        <f t="shared" si="4"/>
        <v>Resultado &gt;100% — indício de incompatibilidade numerador/denominador; ressalva de consistência, cálculo mantido. Sol. alternativa p/ não residenciais: sem campo no SINISA, computado como zero.</v>
      </c>
    </row>
    <row r="56" spans="1:11" ht="15" customHeight="1" x14ac:dyDescent="0.35">
      <c r="A56" s="12" t="s">
        <v>111</v>
      </c>
      <c r="B56" s="12">
        <f>Base_SINISA_Agua!G12+Base_SINISA_Agua!H12</f>
        <v>2660</v>
      </c>
      <c r="C56" s="13">
        <f>Base_SINISA_Agua!I12</f>
        <v>608</v>
      </c>
      <c r="D56" s="13">
        <f>Base_SINISA_Agua!J12</f>
        <v>0</v>
      </c>
      <c r="E56" s="13">
        <f>Sol_Alternativas!N12+Sol_Alternativas!O12</f>
        <v>0</v>
      </c>
      <c r="F56" s="13">
        <f t="shared" si="2"/>
        <v>3268</v>
      </c>
      <c r="G56" s="13">
        <f>Base_Denominadores!F12</f>
        <v>0</v>
      </c>
      <c r="H56" s="21" t="str">
        <f>IF(Base_SINISA_Agua!$C12="Ausente","n.c.",IF(OR(G56="",G56=0),"n.c.",IF(Base_Denominadores!$J12&lt;&gt;"OK","n.c.",F56/G56)))</f>
        <v>n.c.</v>
      </c>
      <c r="I56" s="13" t="str">
        <f>IF(Base_SINISA_Agua!$C12="Ausente","Insatisfatório – prestador ausente",IF(OR(G56="",G56=0),"Não calculado – denominador ausente",IF(Base_Denominadores!$J12&lt;&gt;"OK","Não avaliável – denominador incoerente (ver auditoria)",IF(OR(Base_SINISA_Agua!$AD12="Inconsistente – residencial&gt;total",Base_SINISA_Agua!$AE12="Inconsistente – residencial&gt;total"),"Calculado com ressalva grave – inconsistência residencial/total na fonte",IF(COUNTBLANK(Base_SINISA_Agua!G12:J12)&gt;0,"Calculado com ressalva – parcela ausente = zero","Calculado")))))</f>
        <v>Não calculado – denominador ausente</v>
      </c>
      <c r="J56" s="13" t="str">
        <f t="shared" si="3"/>
        <v>Não</v>
      </c>
      <c r="K56" s="13" t="str">
        <f t="shared" si="4"/>
        <v>Sol. alternativa p/ não residenciais: sem campo no SINISA, computado como zero.</v>
      </c>
    </row>
    <row r="57" spans="1:11" ht="15" customHeight="1" x14ac:dyDescent="0.35">
      <c r="A57" s="12" t="s">
        <v>113</v>
      </c>
      <c r="B57" s="12">
        <f>Base_SINISA_Agua!G13+Base_SINISA_Agua!H13</f>
        <v>7832</v>
      </c>
      <c r="C57" s="13">
        <f>Base_SINISA_Agua!I13</f>
        <v>1355</v>
      </c>
      <c r="D57" s="13">
        <f>Base_SINISA_Agua!J13</f>
        <v>0</v>
      </c>
      <c r="E57" s="13">
        <f>Sol_Alternativas!N13+Sol_Alternativas!O13</f>
        <v>0</v>
      </c>
      <c r="F57" s="13">
        <f t="shared" si="2"/>
        <v>9187</v>
      </c>
      <c r="G57" s="13">
        <f>Base_Denominadores!F13</f>
        <v>8836</v>
      </c>
      <c r="H57" s="21">
        <f>IF(Base_SINISA_Agua!$C13="Ausente","n.c.",IF(OR(G57="",G57=0),"n.c.",IF(Base_Denominadores!$J13&lt;&gt;"OK","n.c.",F57/G57)))</f>
        <v>1.0397238569488456</v>
      </c>
      <c r="I57" s="13" t="str">
        <f>IF(Base_SINISA_Agua!$C13="Ausente","Insatisfatório – prestador ausente",IF(OR(G57="",G57=0),"Não calculado – denominador ausente",IF(Base_Denominadores!$J13&lt;&gt;"OK","Não avaliável – denominador incoerente (ver auditoria)",IF(OR(Base_SINISA_Agua!$AD13="Inconsistente – residencial&gt;total",Base_SINISA_Agua!$AE13="Inconsistente – residencial&gt;total"),"Calculado com ressalva grave – inconsistência residencial/total na fonte",IF(COUNTBLANK(Base_SINISA_Agua!G13:J13)&gt;0,"Calculado com ressalva – parcela ausente = zero","Calculado")))))</f>
        <v>Calculado</v>
      </c>
      <c r="J57" s="13" t="str">
        <f t="shared" si="3"/>
        <v>Sim</v>
      </c>
      <c r="K57" s="13" t="str">
        <f t="shared" si="4"/>
        <v>Resultado &gt;100% — indício de incompatibilidade numerador/denominador; ressalva de consistência, cálculo mantido. Sol. alternativa p/ não residenciais: sem campo no SINISA, computado como zero.</v>
      </c>
    </row>
    <row r="58" spans="1:11" ht="15" customHeight="1" x14ac:dyDescent="0.35">
      <c r="A58" s="12" t="s">
        <v>114</v>
      </c>
      <c r="B58" s="12">
        <f>Base_SINISA_Agua!G14+Base_SINISA_Agua!H14</f>
        <v>6801</v>
      </c>
      <c r="C58" s="13">
        <f>Base_SINISA_Agua!I14</f>
        <v>1202</v>
      </c>
      <c r="D58" s="13">
        <f>Base_SINISA_Agua!J14</f>
        <v>0</v>
      </c>
      <c r="E58" s="13">
        <f>Sol_Alternativas!N14+Sol_Alternativas!O14</f>
        <v>0</v>
      </c>
      <c r="F58" s="13">
        <f t="shared" si="2"/>
        <v>8003</v>
      </c>
      <c r="G58" s="13">
        <f>Base_Denominadores!F14</f>
        <v>5260</v>
      </c>
      <c r="H58" s="21" t="str">
        <f>IF(Base_SINISA_Agua!$C14="Ausente","n.c.",IF(OR(G58="",G58=0),"n.c.",IF(Base_Denominadores!$J14&lt;&gt;"OK","n.c.",F58/G58)))</f>
        <v>n.c.</v>
      </c>
      <c r="I58" s="13" t="str">
        <f>IF(Base_SINISA_Agua!$C14="Ausente","Insatisfatório – prestador ausente",IF(OR(G58="",G58=0),"Não calculado – denominador ausente",IF(Base_Denominadores!$J14&lt;&gt;"OK","Não avaliável – denominador incoerente (ver auditoria)",IF(OR(Base_SINISA_Agua!$AD14="Inconsistente – residencial&gt;total",Base_SINISA_Agua!$AE14="Inconsistente – residencial&gt;total"),"Calculado com ressalva grave – inconsistência residencial/total na fonte",IF(COUNTBLANK(Base_SINISA_Agua!G14:J14)&gt;0,"Calculado com ressalva – parcela ausente = zero","Calculado")))))</f>
        <v>Não avaliável – denominador incoerente (ver auditoria)</v>
      </c>
      <c r="J58" s="13" t="str">
        <f t="shared" si="3"/>
        <v>Não</v>
      </c>
      <c r="K58" s="13" t="str">
        <f t="shared" si="4"/>
        <v>Sol. alternativa p/ não residenciais: sem campo no SINISA, computado como zero.</v>
      </c>
    </row>
    <row r="59" spans="1:11" ht="15" customHeight="1" x14ac:dyDescent="0.35">
      <c r="A59" s="12" t="s">
        <v>115</v>
      </c>
      <c r="B59" s="12">
        <f>Base_SINISA_Agua!G15+Base_SINISA_Agua!H15</f>
        <v>1034</v>
      </c>
      <c r="C59" s="13">
        <f>Base_SINISA_Agua!I15</f>
        <v>42</v>
      </c>
      <c r="D59" s="13">
        <f>Base_SINISA_Agua!J15</f>
        <v>0</v>
      </c>
      <c r="E59" s="13">
        <f>Sol_Alternativas!N15+Sol_Alternativas!O15</f>
        <v>0</v>
      </c>
      <c r="F59" s="13">
        <f t="shared" si="2"/>
        <v>1076</v>
      </c>
      <c r="G59" s="13">
        <f>Base_Denominadores!F15</f>
        <v>0</v>
      </c>
      <c r="H59" s="21" t="str">
        <f>IF(Base_SINISA_Agua!$C15="Ausente","n.c.",IF(OR(G59="",G59=0),"n.c.",IF(Base_Denominadores!$J15&lt;&gt;"OK","n.c.",F59/G59)))</f>
        <v>n.c.</v>
      </c>
      <c r="I59" s="13" t="str">
        <f>IF(Base_SINISA_Agua!$C15="Ausente","Insatisfatório – prestador ausente",IF(OR(G59="",G59=0),"Não calculado – denominador ausente",IF(Base_Denominadores!$J15&lt;&gt;"OK","Não avaliável – denominador incoerente (ver auditoria)",IF(OR(Base_SINISA_Agua!$AD15="Inconsistente – residencial&gt;total",Base_SINISA_Agua!$AE15="Inconsistente – residencial&gt;total"),"Calculado com ressalva grave – inconsistência residencial/total na fonte",IF(COUNTBLANK(Base_SINISA_Agua!G15:J15)&gt;0,"Calculado com ressalva – parcela ausente = zero","Calculado")))))</f>
        <v>Não calculado – denominador ausente</v>
      </c>
      <c r="J59" s="13" t="str">
        <f t="shared" si="3"/>
        <v>Não</v>
      </c>
      <c r="K59" s="13" t="str">
        <f t="shared" si="4"/>
        <v>Sol. alternativa p/ não residenciais: sem campo no SINISA, computado como zero.</v>
      </c>
    </row>
    <row r="60" spans="1:11" ht="15" customHeight="1" x14ac:dyDescent="0.35">
      <c r="A60" s="12" t="s">
        <v>117</v>
      </c>
      <c r="B60" s="12">
        <f>Base_SINISA_Agua!G16+Base_SINISA_Agua!H16</f>
        <v>3492</v>
      </c>
      <c r="C60" s="13">
        <f>Base_SINISA_Agua!I16</f>
        <v>182</v>
      </c>
      <c r="D60" s="13">
        <f>Base_SINISA_Agua!J16</f>
        <v>0</v>
      </c>
      <c r="E60" s="13">
        <f>Sol_Alternativas!N16+Sol_Alternativas!O16</f>
        <v>0</v>
      </c>
      <c r="F60" s="13">
        <f t="shared" si="2"/>
        <v>3674</v>
      </c>
      <c r="G60" s="13">
        <f>Base_Denominadores!F16</f>
        <v>0</v>
      </c>
      <c r="H60" s="21" t="str">
        <f>IF(Base_SINISA_Agua!$C16="Ausente","n.c.",IF(OR(G60="",G60=0),"n.c.",IF(Base_Denominadores!$J16&lt;&gt;"OK","n.c.",F60/G60)))</f>
        <v>n.c.</v>
      </c>
      <c r="I60" s="13" t="str">
        <f>IF(Base_SINISA_Agua!$C16="Ausente","Insatisfatório – prestador ausente",IF(OR(G60="",G60=0),"Não calculado – denominador ausente",IF(Base_Denominadores!$J16&lt;&gt;"OK","Não avaliável – denominador incoerente (ver auditoria)",IF(OR(Base_SINISA_Agua!$AD16="Inconsistente – residencial&gt;total",Base_SINISA_Agua!$AE16="Inconsistente – residencial&gt;total"),"Calculado com ressalva grave – inconsistência residencial/total na fonte",IF(COUNTBLANK(Base_SINISA_Agua!G16:J16)&gt;0,"Calculado com ressalva – parcela ausente = zero","Calculado")))))</f>
        <v>Não calculado – denominador ausente</v>
      </c>
      <c r="J60" s="13" t="str">
        <f t="shared" si="3"/>
        <v>Não</v>
      </c>
      <c r="K60" s="13" t="str">
        <f t="shared" si="4"/>
        <v>Sol. alternativa p/ não residenciais: sem campo no SINISA, computado como zero.</v>
      </c>
    </row>
    <row r="61" spans="1:11" ht="15" customHeight="1" x14ac:dyDescent="0.35">
      <c r="A61" s="12" t="s">
        <v>119</v>
      </c>
      <c r="B61" s="12">
        <f>Base_SINISA_Agua!G17+Base_SINISA_Agua!H17</f>
        <v>4750</v>
      </c>
      <c r="C61" s="13">
        <f>Base_SINISA_Agua!I17</f>
        <v>122</v>
      </c>
      <c r="D61" s="13">
        <f>Base_SINISA_Agua!J17</f>
        <v>116</v>
      </c>
      <c r="E61" s="13">
        <f>Sol_Alternativas!N17+Sol_Alternativas!O17</f>
        <v>0</v>
      </c>
      <c r="F61" s="13">
        <f t="shared" si="2"/>
        <v>4988</v>
      </c>
      <c r="G61" s="13">
        <f>Base_Denominadores!F17</f>
        <v>7120</v>
      </c>
      <c r="H61" s="21">
        <f>IF(Base_SINISA_Agua!$C17="Ausente","n.c.",IF(OR(G61="",G61=0),"n.c.",IF(Base_Denominadores!$J17&lt;&gt;"OK","n.c.",F61/G61)))</f>
        <v>0.70056179775280902</v>
      </c>
      <c r="I61" s="13" t="str">
        <f>IF(Base_SINISA_Agua!$C17="Ausente","Insatisfatório – prestador ausente",IF(OR(G61="",G61=0),"Não calculado – denominador ausente",IF(Base_Denominadores!$J17&lt;&gt;"OK","Não avaliável – denominador incoerente (ver auditoria)",IF(OR(Base_SINISA_Agua!$AD17="Inconsistente – residencial&gt;total",Base_SINISA_Agua!$AE17="Inconsistente – residencial&gt;total"),"Calculado com ressalva grave – inconsistência residencial/total na fonte",IF(COUNTBLANK(Base_SINISA_Agua!G17:J17)&gt;0,"Calculado com ressalva – parcela ausente = zero","Calculado")))))</f>
        <v>Calculado</v>
      </c>
      <c r="J61" s="13" t="str">
        <f t="shared" si="3"/>
        <v>Sim</v>
      </c>
      <c r="K61" s="13" t="str">
        <f t="shared" si="4"/>
        <v>Sol. alternativa p/ não residenciais: sem campo no SINISA, computado como zero.</v>
      </c>
    </row>
    <row r="62" spans="1:11" ht="15" customHeight="1" x14ac:dyDescent="0.35">
      <c r="A62" s="12" t="s">
        <v>121</v>
      </c>
      <c r="B62" s="12">
        <f>Base_SINISA_Agua!G18+Base_SINISA_Agua!H18</f>
        <v>3929</v>
      </c>
      <c r="C62" s="13">
        <f>Base_SINISA_Agua!I18</f>
        <v>0</v>
      </c>
      <c r="D62" s="13">
        <f>Base_SINISA_Agua!J18</f>
        <v>0</v>
      </c>
      <c r="E62" s="13">
        <f>Sol_Alternativas!N18+Sol_Alternativas!O18</f>
        <v>0</v>
      </c>
      <c r="F62" s="13">
        <f t="shared" si="2"/>
        <v>3929</v>
      </c>
      <c r="G62" s="13">
        <f>Base_Denominadores!F18</f>
        <v>0</v>
      </c>
      <c r="H62" s="21" t="str">
        <f>IF(Base_SINISA_Agua!$C18="Ausente","n.c.",IF(OR(G62="",G62=0),"n.c.",IF(Base_Denominadores!$J18&lt;&gt;"OK","n.c.",F62/G62)))</f>
        <v>n.c.</v>
      </c>
      <c r="I62" s="13" t="str">
        <f>IF(Base_SINISA_Agua!$C18="Ausente","Insatisfatório – prestador ausente",IF(OR(G62="",G62=0),"Não calculado – denominador ausente",IF(Base_Denominadores!$J18&lt;&gt;"OK","Não avaliável – denominador incoerente (ver auditoria)",IF(OR(Base_SINISA_Agua!$AD18="Inconsistente – residencial&gt;total",Base_SINISA_Agua!$AE18="Inconsistente – residencial&gt;total"),"Calculado com ressalva grave – inconsistência residencial/total na fonte",IF(COUNTBLANK(Base_SINISA_Agua!G18:J18)&gt;0,"Calculado com ressalva – parcela ausente = zero","Calculado")))))</f>
        <v>Não calculado – denominador ausente</v>
      </c>
      <c r="J62" s="13" t="str">
        <f t="shared" si="3"/>
        <v>Não</v>
      </c>
      <c r="K62" s="13" t="str">
        <f t="shared" si="4"/>
        <v>Sol. alternativa p/ não residenciais: sem campo no SINISA, computado como zero.</v>
      </c>
    </row>
    <row r="63" spans="1:11" ht="15" customHeight="1" x14ac:dyDescent="0.35">
      <c r="A63" s="12" t="s">
        <v>122</v>
      </c>
      <c r="B63" s="12">
        <f>Base_SINISA_Agua!G19+Base_SINISA_Agua!H19</f>
        <v>7629</v>
      </c>
      <c r="C63" s="13">
        <f>Base_SINISA_Agua!I19</f>
        <v>980</v>
      </c>
      <c r="D63" s="13">
        <f>Base_SINISA_Agua!J19</f>
        <v>100</v>
      </c>
      <c r="E63" s="13">
        <f>Sol_Alternativas!N19+Sol_Alternativas!O19</f>
        <v>0</v>
      </c>
      <c r="F63" s="13">
        <f t="shared" si="2"/>
        <v>8709</v>
      </c>
      <c r="G63" s="13">
        <f>Base_Denominadores!F19</f>
        <v>0</v>
      </c>
      <c r="H63" s="21" t="str">
        <f>IF(Base_SINISA_Agua!$C19="Ausente","n.c.",IF(OR(G63="",G63=0),"n.c.",IF(Base_Denominadores!$J19&lt;&gt;"OK","n.c.",F63/G63)))</f>
        <v>n.c.</v>
      </c>
      <c r="I63" s="13" t="str">
        <f>IF(Base_SINISA_Agua!$C19="Ausente","Insatisfatório – prestador ausente",IF(OR(G63="",G63=0),"Não calculado – denominador ausente",IF(Base_Denominadores!$J19&lt;&gt;"OK","Não avaliável – denominador incoerente (ver auditoria)",IF(OR(Base_SINISA_Agua!$AD19="Inconsistente – residencial&gt;total",Base_SINISA_Agua!$AE19="Inconsistente – residencial&gt;total"),"Calculado com ressalva grave – inconsistência residencial/total na fonte",IF(COUNTBLANK(Base_SINISA_Agua!G19:J19)&gt;0,"Calculado com ressalva – parcela ausente = zero","Calculado")))))</f>
        <v>Não calculado – denominador ausente</v>
      </c>
      <c r="J63" s="13" t="str">
        <f t="shared" si="3"/>
        <v>Não</v>
      </c>
      <c r="K63" s="13" t="str">
        <f t="shared" si="4"/>
        <v>Sol. alternativa p/ não residenciais: sem campo no SINISA, computado como zero.</v>
      </c>
    </row>
    <row r="64" spans="1:11" ht="15" customHeight="1" x14ac:dyDescent="0.35">
      <c r="A64" s="12" t="s">
        <v>123</v>
      </c>
      <c r="B64" s="12">
        <f>Base_SINISA_Agua!G20+Base_SINISA_Agua!H20</f>
        <v>28215</v>
      </c>
      <c r="C64" s="13">
        <f>Base_SINISA_Agua!I20</f>
        <v>41</v>
      </c>
      <c r="D64" s="13">
        <f>Base_SINISA_Agua!J20</f>
        <v>0</v>
      </c>
      <c r="E64" s="13">
        <f>Sol_Alternativas!N20+Sol_Alternativas!O20</f>
        <v>0</v>
      </c>
      <c r="F64" s="13">
        <f t="shared" si="2"/>
        <v>28256</v>
      </c>
      <c r="G64" s="13">
        <f>Base_Denominadores!F20</f>
        <v>0</v>
      </c>
      <c r="H64" s="21" t="str">
        <f>IF(Base_SINISA_Agua!$C20="Ausente","n.c.",IF(OR(G64="",G64=0),"n.c.",IF(Base_Denominadores!$J20&lt;&gt;"OK","n.c.",F64/G64)))</f>
        <v>n.c.</v>
      </c>
      <c r="I64" s="13" t="str">
        <f>IF(Base_SINISA_Agua!$C20="Ausente","Insatisfatório – prestador ausente",IF(OR(G64="",G64=0),"Não calculado – denominador ausente",IF(Base_Denominadores!$J20&lt;&gt;"OK","Não avaliável – denominador incoerente (ver auditoria)",IF(OR(Base_SINISA_Agua!$AD20="Inconsistente – residencial&gt;total",Base_SINISA_Agua!$AE20="Inconsistente – residencial&gt;total"),"Calculado com ressalva grave – inconsistência residencial/total na fonte",IF(COUNTBLANK(Base_SINISA_Agua!G20:J20)&gt;0,"Calculado com ressalva – parcela ausente = zero","Calculado")))))</f>
        <v>Não calculado – denominador ausente</v>
      </c>
      <c r="J64" s="13" t="str">
        <f t="shared" si="3"/>
        <v>Não</v>
      </c>
      <c r="K64" s="13" t="str">
        <f t="shared" si="4"/>
        <v>Sol. alternativa p/ não residenciais: sem campo no SINISA, computado como zero.</v>
      </c>
    </row>
    <row r="65" spans="1:11" ht="15" customHeight="1" x14ac:dyDescent="0.35">
      <c r="A65" s="12" t="s">
        <v>125</v>
      </c>
      <c r="B65" s="12">
        <f>Base_SINISA_Agua!G21+Base_SINISA_Agua!H21</f>
        <v>8210</v>
      </c>
      <c r="C65" s="13">
        <f>Base_SINISA_Agua!I21</f>
        <v>0</v>
      </c>
      <c r="D65" s="13">
        <f>Base_SINISA_Agua!J21</f>
        <v>0</v>
      </c>
      <c r="E65" s="13">
        <f>Sol_Alternativas!N21+Sol_Alternativas!O21</f>
        <v>0</v>
      </c>
      <c r="F65" s="13">
        <f t="shared" si="2"/>
        <v>8210</v>
      </c>
      <c r="G65" s="13">
        <f>Base_Denominadores!F21</f>
        <v>0</v>
      </c>
      <c r="H65" s="21" t="str">
        <f>IF(Base_SINISA_Agua!$C21="Ausente","n.c.",IF(OR(G65="",G65=0),"n.c.",IF(Base_Denominadores!$J21&lt;&gt;"OK","n.c.",F65/G65)))</f>
        <v>n.c.</v>
      </c>
      <c r="I65" s="13" t="str">
        <f>IF(Base_SINISA_Agua!$C21="Ausente","Insatisfatório – prestador ausente",IF(OR(G65="",G65=0),"Não calculado – denominador ausente",IF(Base_Denominadores!$J21&lt;&gt;"OK","Não avaliável – denominador incoerente (ver auditoria)",IF(OR(Base_SINISA_Agua!$AD21="Inconsistente – residencial&gt;total",Base_SINISA_Agua!$AE21="Inconsistente – residencial&gt;total"),"Calculado com ressalva grave – inconsistência residencial/total na fonte",IF(COUNTBLANK(Base_SINISA_Agua!G21:J21)&gt;0,"Calculado com ressalva – parcela ausente = zero","Calculado")))))</f>
        <v>Não calculado – denominador ausente</v>
      </c>
      <c r="J65" s="13" t="str">
        <f t="shared" si="3"/>
        <v>Não</v>
      </c>
      <c r="K65" s="13" t="str">
        <f t="shared" si="4"/>
        <v>Sol. alternativa p/ não residenciais: sem campo no SINISA, computado como zero.</v>
      </c>
    </row>
    <row r="66" spans="1:11" ht="15" customHeight="1" x14ac:dyDescent="0.35">
      <c r="A66" s="12" t="s">
        <v>126</v>
      </c>
      <c r="B66" s="12">
        <f>Base_SINISA_Agua!G22+Base_SINISA_Agua!H22</f>
        <v>10099</v>
      </c>
      <c r="C66" s="13">
        <f>Base_SINISA_Agua!I22</f>
        <v>1888</v>
      </c>
      <c r="D66" s="13">
        <f>Base_SINISA_Agua!J22</f>
        <v>91</v>
      </c>
      <c r="E66" s="13">
        <f>Sol_Alternativas!N22+Sol_Alternativas!O22</f>
        <v>0</v>
      </c>
      <c r="F66" s="13">
        <f t="shared" si="2"/>
        <v>12078</v>
      </c>
      <c r="G66" s="13">
        <f>Base_Denominadores!F22</f>
        <v>11698</v>
      </c>
      <c r="H66" s="21">
        <f>IF(Base_SINISA_Agua!$C22="Ausente","n.c.",IF(OR(G66="",G66=0),"n.c.",IF(Base_Denominadores!$J22&lt;&gt;"OK","n.c.",F66/G66)))</f>
        <v>1.0324841853308258</v>
      </c>
      <c r="I66" s="13" t="str">
        <f>IF(Base_SINISA_Agua!$C22="Ausente","Insatisfatório – prestador ausente",IF(OR(G66="",G66=0),"Não calculado – denominador ausente",IF(Base_Denominadores!$J22&lt;&gt;"OK","Não avaliável – denominador incoerente (ver auditoria)",IF(OR(Base_SINISA_Agua!$AD22="Inconsistente – residencial&gt;total",Base_SINISA_Agua!$AE22="Inconsistente – residencial&gt;total"),"Calculado com ressalva grave – inconsistência residencial/total na fonte",IF(COUNTBLANK(Base_SINISA_Agua!G22:J22)&gt;0,"Calculado com ressalva – parcela ausente = zero","Calculado")))))</f>
        <v>Calculado</v>
      </c>
      <c r="J66" s="13" t="str">
        <f t="shared" si="3"/>
        <v>Sim</v>
      </c>
      <c r="K66" s="13" t="str">
        <f t="shared" si="4"/>
        <v>Resultado &gt;100% — indício de incompatibilidade numerador/denominador; ressalva de consistência, cálculo mantido. Sol. alternativa p/ não residenciais: sem campo no SINISA, computado como zero.</v>
      </c>
    </row>
    <row r="67" spans="1:11" ht="15" customHeight="1" x14ac:dyDescent="0.35">
      <c r="A67" s="12" t="s">
        <v>127</v>
      </c>
      <c r="B67" s="12">
        <f>Base_SINISA_Agua!G23+Base_SINISA_Agua!H23</f>
        <v>21485</v>
      </c>
      <c r="C67" s="13">
        <f>Base_SINISA_Agua!I23</f>
        <v>2453</v>
      </c>
      <c r="D67" s="13">
        <f>Base_SINISA_Agua!J23</f>
        <v>91</v>
      </c>
      <c r="E67" s="13">
        <f>Sol_Alternativas!N23+Sol_Alternativas!O23</f>
        <v>0</v>
      </c>
      <c r="F67" s="13">
        <f t="shared" si="2"/>
        <v>24029</v>
      </c>
      <c r="G67" s="13">
        <f>Base_Denominadores!F23</f>
        <v>34087</v>
      </c>
      <c r="H67" s="21">
        <f>IF(Base_SINISA_Agua!$C23="Ausente","n.c.",IF(OR(G67="",G67=0),"n.c.",IF(Base_Denominadores!$J23&lt;&gt;"OK","n.c.",F67/G67)))</f>
        <v>0.70493149881186379</v>
      </c>
      <c r="I67" s="13" t="str">
        <f>IF(Base_SINISA_Agua!$C23="Ausente","Insatisfatório – prestador ausente",IF(OR(G67="",G67=0),"Não calculado – denominador ausente",IF(Base_Denominadores!$J23&lt;&gt;"OK","Não avaliável – denominador incoerente (ver auditoria)",IF(OR(Base_SINISA_Agua!$AD23="Inconsistente – residencial&gt;total",Base_SINISA_Agua!$AE23="Inconsistente – residencial&gt;total"),"Calculado com ressalva grave – inconsistência residencial/total na fonte",IF(COUNTBLANK(Base_SINISA_Agua!G23:J23)&gt;0,"Calculado com ressalva – parcela ausente = zero","Calculado")))))</f>
        <v>Calculado</v>
      </c>
      <c r="J67" s="13" t="str">
        <f t="shared" si="3"/>
        <v>Sim</v>
      </c>
      <c r="K67" s="13" t="str">
        <f t="shared" si="4"/>
        <v>Sol. alternativa p/ não residenciais: sem campo no SINISA, computado como zero.</v>
      </c>
    </row>
    <row r="68" spans="1:11" ht="15" customHeight="1" x14ac:dyDescent="0.35">
      <c r="A68" s="12" t="s">
        <v>129</v>
      </c>
      <c r="B68" s="12">
        <f>Base_SINISA_Agua!G24+Base_SINISA_Agua!H24</f>
        <v>45504</v>
      </c>
      <c r="C68" s="13">
        <f>Base_SINISA_Agua!I24</f>
        <v>7390</v>
      </c>
      <c r="D68" s="13">
        <f>Base_SINISA_Agua!J24</f>
        <v>0</v>
      </c>
      <c r="E68" s="13">
        <f>Sol_Alternativas!N24+Sol_Alternativas!O24</f>
        <v>0</v>
      </c>
      <c r="F68" s="13">
        <f t="shared" si="2"/>
        <v>52894</v>
      </c>
      <c r="G68" s="13">
        <f>Base_Denominadores!F24</f>
        <v>51069</v>
      </c>
      <c r="H68" s="21">
        <f>IF(Base_SINISA_Agua!$C24="Ausente","n.c.",IF(OR(G68="",G68=0),"n.c.",IF(Base_Denominadores!$J24&lt;&gt;"OK","n.c.",F68/G68)))</f>
        <v>1.0357359650668703</v>
      </c>
      <c r="I68" s="13" t="str">
        <f>IF(Base_SINISA_Agua!$C24="Ausente","Insatisfatório – prestador ausente",IF(OR(G68="",G68=0),"Não calculado – denominador ausente",IF(Base_Denominadores!$J24&lt;&gt;"OK","Não avaliável – denominador incoerente (ver auditoria)",IF(OR(Base_SINISA_Agua!$AD24="Inconsistente – residencial&gt;total",Base_SINISA_Agua!$AE24="Inconsistente – residencial&gt;total"),"Calculado com ressalva grave – inconsistência residencial/total na fonte",IF(COUNTBLANK(Base_SINISA_Agua!G24:J24)&gt;0,"Calculado com ressalva – parcela ausente = zero","Calculado")))))</f>
        <v>Calculado</v>
      </c>
      <c r="J68" s="13" t="str">
        <f t="shared" si="3"/>
        <v>Sim</v>
      </c>
      <c r="K68" s="13" t="str">
        <f t="shared" si="4"/>
        <v>Resultado &gt;100% — indício de incompatibilidade numerador/denominador; ressalva de consistência, cálculo mantido. Sol. alternativa p/ não residenciais: sem campo no SINISA, computado como zero.</v>
      </c>
    </row>
    <row r="69" spans="1:11" ht="15" customHeight="1" x14ac:dyDescent="0.35">
      <c r="A69" s="12" t="s">
        <v>131</v>
      </c>
      <c r="B69" s="12">
        <f>Base_SINISA_Agua!G25+Base_SINISA_Agua!H25</f>
        <v>0</v>
      </c>
      <c r="C69" s="13">
        <f>Base_SINISA_Agua!I25</f>
        <v>0</v>
      </c>
      <c r="D69" s="13">
        <f>Base_SINISA_Agua!J25</f>
        <v>0</v>
      </c>
      <c r="E69" s="13">
        <f>Sol_Alternativas!N25+Sol_Alternativas!O25</f>
        <v>0</v>
      </c>
      <c r="F69" s="13">
        <f t="shared" si="2"/>
        <v>0</v>
      </c>
      <c r="G69" s="13">
        <f>Base_Denominadores!F25</f>
        <v>0</v>
      </c>
      <c r="H69" s="21" t="str">
        <f>IF(Base_SINISA_Agua!$C25="Ausente","n.c.",IF(OR(G69="",G69=0),"n.c.",IF(Base_Denominadores!$J25&lt;&gt;"OK","n.c.",F69/G69)))</f>
        <v>n.c.</v>
      </c>
      <c r="I69" s="13" t="str">
        <f>IF(Base_SINISA_Agua!$C25="Ausente","Insatisfatório – prestador ausente",IF(OR(G69="",G69=0),"Não calculado – denominador ausente",IF(Base_Denominadores!$J25&lt;&gt;"OK","Não avaliável – denominador incoerente (ver auditoria)",IF(OR(Base_SINISA_Agua!$AD25="Inconsistente – residencial&gt;total",Base_SINISA_Agua!$AE25="Inconsistente – residencial&gt;total"),"Calculado com ressalva grave – inconsistência residencial/total na fonte",IF(COUNTBLANK(Base_SINISA_Agua!G25:J25)&gt;0,"Calculado com ressalva – parcela ausente = zero","Calculado")))))</f>
        <v>Insatisfatório – prestador ausente</v>
      </c>
      <c r="J69" s="13" t="str">
        <f t="shared" si="3"/>
        <v>Não</v>
      </c>
      <c r="K69" s="13" t="str">
        <f t="shared" si="4"/>
        <v>Sol. alternativa p/ não residenciais: sem campo no SINISA, computado como zero.</v>
      </c>
    </row>
    <row r="70" spans="1:11" ht="15" customHeight="1" x14ac:dyDescent="0.35">
      <c r="A70" s="12" t="s">
        <v>132</v>
      </c>
      <c r="B70" s="12">
        <f>Base_SINISA_Agua!G26+Base_SINISA_Agua!H26</f>
        <v>2763</v>
      </c>
      <c r="C70" s="13">
        <f>Base_SINISA_Agua!I26</f>
        <v>74</v>
      </c>
      <c r="D70" s="13">
        <f>Base_SINISA_Agua!J26</f>
        <v>0</v>
      </c>
      <c r="E70" s="13">
        <f>Sol_Alternativas!N26+Sol_Alternativas!O26</f>
        <v>0</v>
      </c>
      <c r="F70" s="13">
        <f t="shared" si="2"/>
        <v>2837</v>
      </c>
      <c r="G70" s="13">
        <f>Base_Denominadores!F26</f>
        <v>0</v>
      </c>
      <c r="H70" s="21" t="str">
        <f>IF(Base_SINISA_Agua!$C26="Ausente","n.c.",IF(OR(G70="",G70=0),"n.c.",IF(Base_Denominadores!$J26&lt;&gt;"OK","n.c.",F70/G70)))</f>
        <v>n.c.</v>
      </c>
      <c r="I70" s="13" t="str">
        <f>IF(Base_SINISA_Agua!$C26="Ausente","Insatisfatório – prestador ausente",IF(OR(G70="",G70=0),"Não calculado – denominador ausente",IF(Base_Denominadores!$J26&lt;&gt;"OK","Não avaliável – denominador incoerente (ver auditoria)",IF(OR(Base_SINISA_Agua!$AD26="Inconsistente – residencial&gt;total",Base_SINISA_Agua!$AE26="Inconsistente – residencial&gt;total"),"Calculado com ressalva grave – inconsistência residencial/total na fonte",IF(COUNTBLANK(Base_SINISA_Agua!G26:J26)&gt;0,"Calculado com ressalva – parcela ausente = zero","Calculado")))))</f>
        <v>Não calculado – denominador ausente</v>
      </c>
      <c r="J70" s="13" t="str">
        <f t="shared" si="3"/>
        <v>Não</v>
      </c>
      <c r="K70" s="13" t="str">
        <f t="shared" si="4"/>
        <v>Sol. alternativa p/ não residenciais: sem campo no SINISA, computado como zero.</v>
      </c>
    </row>
    <row r="71" spans="1:11" ht="15" customHeight="1" x14ac:dyDescent="0.35">
      <c r="A71" s="12" t="s">
        <v>134</v>
      </c>
      <c r="B71" s="12">
        <f>Base_SINISA_Agua!G27+Base_SINISA_Agua!H27</f>
        <v>3017</v>
      </c>
      <c r="C71" s="13">
        <f>Base_SINISA_Agua!I27</f>
        <v>13</v>
      </c>
      <c r="D71" s="13">
        <f>Base_SINISA_Agua!J27</f>
        <v>0</v>
      </c>
      <c r="E71" s="13">
        <f>Sol_Alternativas!N27+Sol_Alternativas!O27</f>
        <v>0</v>
      </c>
      <c r="F71" s="13">
        <f t="shared" si="2"/>
        <v>3030</v>
      </c>
      <c r="G71" s="13">
        <f>Base_Denominadores!F27</f>
        <v>2498</v>
      </c>
      <c r="H71" s="21" t="str">
        <f>IF(Base_SINISA_Agua!$C27="Ausente","n.c.",IF(OR(G71="",G71=0),"n.c.",IF(Base_Denominadores!$J27&lt;&gt;"OK","n.c.",F71/G71)))</f>
        <v>n.c.</v>
      </c>
      <c r="I71" s="13" t="str">
        <f>IF(Base_SINISA_Agua!$C27="Ausente","Insatisfatório – prestador ausente",IF(OR(G71="",G71=0),"Não calculado – denominador ausente",IF(Base_Denominadores!$J27&lt;&gt;"OK","Não avaliável – denominador incoerente (ver auditoria)",IF(OR(Base_SINISA_Agua!$AD27="Inconsistente – residencial&gt;total",Base_SINISA_Agua!$AE27="Inconsistente – residencial&gt;total"),"Calculado com ressalva grave – inconsistência residencial/total na fonte",IF(COUNTBLANK(Base_SINISA_Agua!G27:J27)&gt;0,"Calculado com ressalva – parcela ausente = zero","Calculado")))))</f>
        <v>Não avaliável – denominador incoerente (ver auditoria)</v>
      </c>
      <c r="J71" s="13" t="str">
        <f t="shared" si="3"/>
        <v>Não</v>
      </c>
      <c r="K71" s="13" t="str">
        <f t="shared" si="4"/>
        <v>Sol. alternativa p/ não residenciais: sem campo no SINISA, computado como zero.</v>
      </c>
    </row>
    <row r="72" spans="1:11" ht="15" customHeight="1" x14ac:dyDescent="0.35">
      <c r="A72" s="12" t="s">
        <v>135</v>
      </c>
      <c r="B72" s="12">
        <f>Base_SINISA_Agua!G28+Base_SINISA_Agua!H28</f>
        <v>24066</v>
      </c>
      <c r="C72" s="13">
        <f>Base_SINISA_Agua!I28</f>
        <v>5336</v>
      </c>
      <c r="D72" s="13">
        <f>Base_SINISA_Agua!J28</f>
        <v>6</v>
      </c>
      <c r="E72" s="13">
        <f>Sol_Alternativas!N28+Sol_Alternativas!O28</f>
        <v>0</v>
      </c>
      <c r="F72" s="13">
        <f t="shared" si="2"/>
        <v>29408</v>
      </c>
      <c r="G72" s="13">
        <f>Base_Denominadores!F28</f>
        <v>203</v>
      </c>
      <c r="H72" s="21" t="str">
        <f>IF(Base_SINISA_Agua!$C28="Ausente","n.c.",IF(OR(G72="",G72=0),"n.c.",IF(Base_Denominadores!$J28&lt;&gt;"OK","n.c.",F72/G72)))</f>
        <v>n.c.</v>
      </c>
      <c r="I72" s="13" t="str">
        <f>IF(Base_SINISA_Agua!$C28="Ausente","Insatisfatório – prestador ausente",IF(OR(G72="",G72=0),"Não calculado – denominador ausente",IF(Base_Denominadores!$J28&lt;&gt;"OK","Não avaliável – denominador incoerente (ver auditoria)",IF(OR(Base_SINISA_Agua!$AD28="Inconsistente – residencial&gt;total",Base_SINISA_Agua!$AE28="Inconsistente – residencial&gt;total"),"Calculado com ressalva grave – inconsistência residencial/total na fonte",IF(COUNTBLANK(Base_SINISA_Agua!G28:J28)&gt;0,"Calculado com ressalva – parcela ausente = zero","Calculado")))))</f>
        <v>Não avaliável – denominador incoerente (ver auditoria)</v>
      </c>
      <c r="J72" s="13" t="str">
        <f t="shared" si="3"/>
        <v>Não</v>
      </c>
      <c r="K72" s="13" t="str">
        <f t="shared" si="4"/>
        <v>Sol. alternativa p/ não residenciais: sem campo no SINISA, computado como zero.</v>
      </c>
    </row>
    <row r="73" spans="1:11" ht="15" customHeight="1" x14ac:dyDescent="0.35">
      <c r="A73" s="12" t="s">
        <v>137</v>
      </c>
      <c r="B73" s="12">
        <f>Base_SINISA_Agua!G29+Base_SINISA_Agua!H29</f>
        <v>7987</v>
      </c>
      <c r="C73" s="13">
        <f>Base_SINISA_Agua!I29</f>
        <v>1183</v>
      </c>
      <c r="D73" s="13">
        <f>Base_SINISA_Agua!J29</f>
        <v>0</v>
      </c>
      <c r="E73" s="13">
        <f>Sol_Alternativas!N29+Sol_Alternativas!O29</f>
        <v>0</v>
      </c>
      <c r="F73" s="13">
        <f t="shared" si="2"/>
        <v>9170</v>
      </c>
      <c r="G73" s="13">
        <f>Base_Denominadores!F29</f>
        <v>0</v>
      </c>
      <c r="H73" s="21" t="str">
        <f>IF(Base_SINISA_Agua!$C29="Ausente","n.c.",IF(OR(G73="",G73=0),"n.c.",IF(Base_Denominadores!$J29&lt;&gt;"OK","n.c.",F73/G73)))</f>
        <v>n.c.</v>
      </c>
      <c r="I73" s="13" t="str">
        <f>IF(Base_SINISA_Agua!$C29="Ausente","Insatisfatório – prestador ausente",IF(OR(G73="",G73=0),"Não calculado – denominador ausente",IF(Base_Denominadores!$J29&lt;&gt;"OK","Não avaliável – denominador incoerente (ver auditoria)",IF(OR(Base_SINISA_Agua!$AD29="Inconsistente – residencial&gt;total",Base_SINISA_Agua!$AE29="Inconsistente – residencial&gt;total"),"Calculado com ressalva grave – inconsistência residencial/total na fonte",IF(COUNTBLANK(Base_SINISA_Agua!G29:J29)&gt;0,"Calculado com ressalva – parcela ausente = zero","Calculado")))))</f>
        <v>Não calculado – denominador ausente</v>
      </c>
      <c r="J73" s="13" t="str">
        <f t="shared" si="3"/>
        <v>Não</v>
      </c>
      <c r="K73" s="13" t="str">
        <f t="shared" si="4"/>
        <v>Sol. alternativa p/ não residenciais: sem campo no SINISA, computado como zero.</v>
      </c>
    </row>
    <row r="74" spans="1:11" ht="15" customHeight="1" x14ac:dyDescent="0.35">
      <c r="A74" s="12" t="s">
        <v>138</v>
      </c>
      <c r="B74" s="12">
        <f>Base_SINISA_Agua!G30+Base_SINISA_Agua!H30</f>
        <v>3210</v>
      </c>
      <c r="C74" s="13">
        <f>Base_SINISA_Agua!I30</f>
        <v>95</v>
      </c>
      <c r="D74" s="13">
        <f>Base_SINISA_Agua!J30</f>
        <v>0</v>
      </c>
      <c r="E74" s="13">
        <f>Sol_Alternativas!N30+Sol_Alternativas!O30</f>
        <v>0</v>
      </c>
      <c r="F74" s="13">
        <f t="shared" si="2"/>
        <v>3305</v>
      </c>
      <c r="G74" s="13">
        <f>Base_Denominadores!F30</f>
        <v>4000</v>
      </c>
      <c r="H74" s="21" t="str">
        <f>IF(Base_SINISA_Agua!$C30="Ausente","n.c.",IF(OR(G74="",G74=0),"n.c.",IF(Base_Denominadores!$J30&lt;&gt;"OK","n.c.",F74/G74)))</f>
        <v>n.c.</v>
      </c>
      <c r="I74" s="13" t="str">
        <f>IF(Base_SINISA_Agua!$C30="Ausente","Insatisfatório – prestador ausente",IF(OR(G74="",G74=0),"Não calculado – denominador ausente",IF(Base_Denominadores!$J30&lt;&gt;"OK","Não avaliável – denominador incoerente (ver auditoria)",IF(OR(Base_SINISA_Agua!$AD30="Inconsistente – residencial&gt;total",Base_SINISA_Agua!$AE30="Inconsistente – residencial&gt;total"),"Calculado com ressalva grave – inconsistência residencial/total na fonte",IF(COUNTBLANK(Base_SINISA_Agua!G30:J30)&gt;0,"Calculado com ressalva – parcela ausente = zero","Calculado")))))</f>
        <v>Não avaliável – denominador incoerente (ver auditoria)</v>
      </c>
      <c r="J74" s="13" t="str">
        <f t="shared" si="3"/>
        <v>Não</v>
      </c>
      <c r="K74" s="13" t="str">
        <f t="shared" si="4"/>
        <v>Sol. alternativa p/ não residenciais: sem campo no SINISA, computado como zero.</v>
      </c>
    </row>
    <row r="75" spans="1:11" ht="15" customHeight="1" x14ac:dyDescent="0.35">
      <c r="A75" s="12" t="s">
        <v>139</v>
      </c>
      <c r="B75" s="12">
        <f>Base_SINISA_Agua!G31+Base_SINISA_Agua!H31</f>
        <v>2208</v>
      </c>
      <c r="C75" s="13">
        <f>Base_SINISA_Agua!I31</f>
        <v>34</v>
      </c>
      <c r="D75" s="13">
        <f>Base_SINISA_Agua!J31</f>
        <v>0</v>
      </c>
      <c r="E75" s="13">
        <f>Sol_Alternativas!N31+Sol_Alternativas!O31</f>
        <v>0</v>
      </c>
      <c r="F75" s="13">
        <f t="shared" si="2"/>
        <v>2242</v>
      </c>
      <c r="G75" s="13">
        <f>Base_Denominadores!F31</f>
        <v>0</v>
      </c>
      <c r="H75" s="21" t="str">
        <f>IF(Base_SINISA_Agua!$C31="Ausente","n.c.",IF(OR(G75="",G75=0),"n.c.",IF(Base_Denominadores!$J31&lt;&gt;"OK","n.c.",F75/G75)))</f>
        <v>n.c.</v>
      </c>
      <c r="I75" s="13" t="str">
        <f>IF(Base_SINISA_Agua!$C31="Ausente","Insatisfatório – prestador ausente",IF(OR(G75="",G75=0),"Não calculado – denominador ausente",IF(Base_Denominadores!$J31&lt;&gt;"OK","Não avaliável – denominador incoerente (ver auditoria)",IF(OR(Base_SINISA_Agua!$AD31="Inconsistente – residencial&gt;total",Base_SINISA_Agua!$AE31="Inconsistente – residencial&gt;total"),"Calculado com ressalva grave – inconsistência residencial/total na fonte",IF(COUNTBLANK(Base_SINISA_Agua!G31:J31)&gt;0,"Calculado com ressalva – parcela ausente = zero","Calculado")))))</f>
        <v>Não calculado – denominador ausente</v>
      </c>
      <c r="J75" s="13" t="str">
        <f t="shared" si="3"/>
        <v>Não</v>
      </c>
      <c r="K75" s="13" t="str">
        <f t="shared" si="4"/>
        <v>Sol. alternativa p/ não residenciais: sem campo no SINISA, computado como zero.</v>
      </c>
    </row>
    <row r="76" spans="1:11" ht="15" customHeight="1" x14ac:dyDescent="0.35">
      <c r="A76" s="12" t="s">
        <v>141</v>
      </c>
      <c r="B76" s="12">
        <f>Base_SINISA_Agua!G32+Base_SINISA_Agua!H32</f>
        <v>2888</v>
      </c>
      <c r="C76" s="13">
        <f>Base_SINISA_Agua!I32</f>
        <v>13</v>
      </c>
      <c r="D76" s="13">
        <f>Base_SINISA_Agua!J32</f>
        <v>0</v>
      </c>
      <c r="E76" s="13">
        <f>Sol_Alternativas!N32+Sol_Alternativas!O32</f>
        <v>0</v>
      </c>
      <c r="F76" s="13">
        <f t="shared" si="2"/>
        <v>2901</v>
      </c>
      <c r="G76" s="13">
        <f>Base_Denominadores!F32</f>
        <v>0</v>
      </c>
      <c r="H76" s="21" t="str">
        <f>IF(Base_SINISA_Agua!$C32="Ausente","n.c.",IF(OR(G76="",G76=0),"n.c.",IF(Base_Denominadores!$J32&lt;&gt;"OK","n.c.",F76/G76)))</f>
        <v>n.c.</v>
      </c>
      <c r="I76" s="13" t="str">
        <f>IF(Base_SINISA_Agua!$C32="Ausente","Insatisfatório – prestador ausente",IF(OR(G76="",G76=0),"Não calculado – denominador ausente",IF(Base_Denominadores!$J32&lt;&gt;"OK","Não avaliável – denominador incoerente (ver auditoria)",IF(OR(Base_SINISA_Agua!$AD32="Inconsistente – residencial&gt;total",Base_SINISA_Agua!$AE32="Inconsistente – residencial&gt;total"),"Calculado com ressalva grave – inconsistência residencial/total na fonte",IF(COUNTBLANK(Base_SINISA_Agua!G32:J32)&gt;0,"Calculado com ressalva – parcela ausente = zero","Calculado")))))</f>
        <v>Não calculado – denominador ausente</v>
      </c>
      <c r="J76" s="13" t="str">
        <f t="shared" si="3"/>
        <v>Não</v>
      </c>
      <c r="K76" s="13" t="str">
        <f t="shared" si="4"/>
        <v>Sol. alternativa p/ não residenciais: sem campo no SINISA, computado como zero.</v>
      </c>
    </row>
    <row r="77" spans="1:11" ht="15" customHeight="1" x14ac:dyDescent="0.35">
      <c r="A77" s="12" t="s">
        <v>142</v>
      </c>
      <c r="B77" s="12">
        <f>Base_SINISA_Agua!G33+Base_SINISA_Agua!H33</f>
        <v>1462</v>
      </c>
      <c r="C77" s="13">
        <f>Base_SINISA_Agua!I33</f>
        <v>0</v>
      </c>
      <c r="D77" s="13">
        <f>Base_SINISA_Agua!J33</f>
        <v>0</v>
      </c>
      <c r="E77" s="13">
        <f>Sol_Alternativas!N33+Sol_Alternativas!O33</f>
        <v>0</v>
      </c>
      <c r="F77" s="13">
        <f t="shared" si="2"/>
        <v>1462</v>
      </c>
      <c r="G77" s="13">
        <f>Base_Denominadores!F33</f>
        <v>0</v>
      </c>
      <c r="H77" s="21" t="str">
        <f>IF(Base_SINISA_Agua!$C33="Ausente","n.c.",IF(OR(G77="",G77=0),"n.c.",IF(Base_Denominadores!$J33&lt;&gt;"OK","n.c.",F77/G77)))</f>
        <v>n.c.</v>
      </c>
      <c r="I77" s="13" t="str">
        <f>IF(Base_SINISA_Agua!$C33="Ausente","Insatisfatório – prestador ausente",IF(OR(G77="",G77=0),"Não calculado – denominador ausente",IF(Base_Denominadores!$J33&lt;&gt;"OK","Não avaliável – denominador incoerente (ver auditoria)",IF(OR(Base_SINISA_Agua!$AD33="Inconsistente – residencial&gt;total",Base_SINISA_Agua!$AE33="Inconsistente – residencial&gt;total"),"Calculado com ressalva grave – inconsistência residencial/total na fonte",IF(COUNTBLANK(Base_SINISA_Agua!G33:J33)&gt;0,"Calculado com ressalva – parcela ausente = zero","Calculado")))))</f>
        <v>Não calculado – denominador ausente</v>
      </c>
      <c r="J77" s="13" t="str">
        <f t="shared" si="3"/>
        <v>Não</v>
      </c>
      <c r="K77" s="13" t="str">
        <f t="shared" si="4"/>
        <v>Sol. alternativa p/ não residenciais: sem campo no SINISA, computado como zero.</v>
      </c>
    </row>
    <row r="78" spans="1:11" ht="15" customHeight="1" x14ac:dyDescent="0.35">
      <c r="A78" s="12" t="s">
        <v>144</v>
      </c>
      <c r="B78" s="12">
        <f>Base_SINISA_Agua!G34+Base_SINISA_Agua!H34</f>
        <v>1275</v>
      </c>
      <c r="C78" s="13">
        <f>Base_SINISA_Agua!I34</f>
        <v>8</v>
      </c>
      <c r="D78" s="13">
        <f>Base_SINISA_Agua!J34</f>
        <v>0</v>
      </c>
      <c r="E78" s="13">
        <f>Sol_Alternativas!N34+Sol_Alternativas!O34</f>
        <v>0</v>
      </c>
      <c r="F78" s="13">
        <f t="shared" si="2"/>
        <v>1283</v>
      </c>
      <c r="G78" s="13">
        <f>Base_Denominadores!F34</f>
        <v>0</v>
      </c>
      <c r="H78" s="21" t="str">
        <f>IF(Base_SINISA_Agua!$C34="Ausente","n.c.",IF(OR(G78="",G78=0),"n.c.",IF(Base_Denominadores!$J34&lt;&gt;"OK","n.c.",F78/G78)))</f>
        <v>n.c.</v>
      </c>
      <c r="I78" s="13" t="str">
        <f>IF(Base_SINISA_Agua!$C34="Ausente","Insatisfatório – prestador ausente",IF(OR(G78="",G78=0),"Não calculado – denominador ausente",IF(Base_Denominadores!$J34&lt;&gt;"OK","Não avaliável – denominador incoerente (ver auditoria)",IF(OR(Base_SINISA_Agua!$AD34="Inconsistente – residencial&gt;total",Base_SINISA_Agua!$AE34="Inconsistente – residencial&gt;total"),"Calculado com ressalva grave – inconsistência residencial/total na fonte",IF(COUNTBLANK(Base_SINISA_Agua!G34:J34)&gt;0,"Calculado com ressalva – parcela ausente = zero","Calculado")))))</f>
        <v>Não calculado – denominador ausente</v>
      </c>
      <c r="J78" s="13" t="str">
        <f t="shared" si="3"/>
        <v>Não</v>
      </c>
      <c r="K78" s="13" t="str">
        <f t="shared" si="4"/>
        <v>Sol. alternativa p/ não residenciais: sem campo no SINISA, computado como zero.</v>
      </c>
    </row>
    <row r="79" spans="1:11" ht="15" customHeight="1" x14ac:dyDescent="0.35">
      <c r="A79" s="12" t="s">
        <v>146</v>
      </c>
      <c r="B79" s="12">
        <f>Base_SINISA_Agua!G35+Base_SINISA_Agua!H35</f>
        <v>5699</v>
      </c>
      <c r="C79" s="13">
        <f>Base_SINISA_Agua!I35</f>
        <v>0</v>
      </c>
      <c r="D79" s="13">
        <f>Base_SINISA_Agua!J35</f>
        <v>235</v>
      </c>
      <c r="E79" s="13">
        <f>Sol_Alternativas!N35+Sol_Alternativas!O35</f>
        <v>0</v>
      </c>
      <c r="F79" s="13">
        <f t="shared" si="2"/>
        <v>5934</v>
      </c>
      <c r="G79" s="13">
        <f>Base_Denominadores!F35</f>
        <v>0</v>
      </c>
      <c r="H79" s="21" t="str">
        <f>IF(Base_SINISA_Agua!$C35="Ausente","n.c.",IF(OR(G79="",G79=0),"n.c.",IF(Base_Denominadores!$J35&lt;&gt;"OK","n.c.",F79/G79)))</f>
        <v>n.c.</v>
      </c>
      <c r="I79" s="13" t="str">
        <f>IF(Base_SINISA_Agua!$C35="Ausente","Insatisfatório – prestador ausente",IF(OR(G79="",G79=0),"Não calculado – denominador ausente",IF(Base_Denominadores!$J35&lt;&gt;"OK","Não avaliável – denominador incoerente (ver auditoria)",IF(OR(Base_SINISA_Agua!$AD35="Inconsistente – residencial&gt;total",Base_SINISA_Agua!$AE35="Inconsistente – residencial&gt;total"),"Calculado com ressalva grave – inconsistência residencial/total na fonte",IF(COUNTBLANK(Base_SINISA_Agua!G35:J35)&gt;0,"Calculado com ressalva – parcela ausente = zero","Calculado")))))</f>
        <v>Não calculado – denominador ausente</v>
      </c>
      <c r="J79" s="13" t="str">
        <f t="shared" si="3"/>
        <v>Não</v>
      </c>
      <c r="K79" s="13" t="str">
        <f t="shared" si="4"/>
        <v>Sol. alternativa p/ não residenciais: sem campo no SINISA, computado como zero.</v>
      </c>
    </row>
    <row r="80" spans="1:11" ht="15" customHeight="1" x14ac:dyDescent="0.35">
      <c r="A80" s="12" t="s">
        <v>148</v>
      </c>
      <c r="B80" s="12">
        <f>Base_SINISA_Agua!G36+Base_SINISA_Agua!H36</f>
        <v>3272</v>
      </c>
      <c r="C80" s="13">
        <f>Base_SINISA_Agua!I36</f>
        <v>360</v>
      </c>
      <c r="D80" s="13">
        <f>Base_SINISA_Agua!J36</f>
        <v>0</v>
      </c>
      <c r="E80" s="13">
        <f>Sol_Alternativas!N36+Sol_Alternativas!O36</f>
        <v>0</v>
      </c>
      <c r="F80" s="13">
        <f t="shared" si="2"/>
        <v>3632</v>
      </c>
      <c r="G80" s="13">
        <f>Base_Denominadores!F36</f>
        <v>0</v>
      </c>
      <c r="H80" s="21" t="str">
        <f>IF(Base_SINISA_Agua!$C36="Ausente","n.c.",IF(OR(G80="",G80=0),"n.c.",IF(Base_Denominadores!$J36&lt;&gt;"OK","n.c.",F80/G80)))</f>
        <v>n.c.</v>
      </c>
      <c r="I80" s="13" t="str">
        <f>IF(Base_SINISA_Agua!$C36="Ausente","Insatisfatório – prestador ausente",IF(OR(G80="",G80=0),"Não calculado – denominador ausente",IF(Base_Denominadores!$J36&lt;&gt;"OK","Não avaliável – denominador incoerente (ver auditoria)",IF(OR(Base_SINISA_Agua!$AD36="Inconsistente – residencial&gt;total",Base_SINISA_Agua!$AE36="Inconsistente – residencial&gt;total"),"Calculado com ressalva grave – inconsistência residencial/total na fonte",IF(COUNTBLANK(Base_SINISA_Agua!G36:J36)&gt;0,"Calculado com ressalva – parcela ausente = zero","Calculado")))))</f>
        <v>Não calculado – denominador ausente</v>
      </c>
      <c r="J80" s="13" t="str">
        <f t="shared" si="3"/>
        <v>Não</v>
      </c>
      <c r="K80" s="13" t="str">
        <f t="shared" si="4"/>
        <v>Sol. alternativa p/ não residenciais: sem campo no SINISA, computado como zero.</v>
      </c>
    </row>
    <row r="81" spans="1:11" ht="15" customHeight="1" x14ac:dyDescent="0.35">
      <c r="A81" s="12" t="s">
        <v>149</v>
      </c>
      <c r="B81" s="12">
        <f>Base_SINISA_Agua!G37+Base_SINISA_Agua!H37</f>
        <v>1149</v>
      </c>
      <c r="C81" s="13">
        <f>Base_SINISA_Agua!I37</f>
        <v>16</v>
      </c>
      <c r="D81" s="13">
        <f>Base_SINISA_Agua!J37</f>
        <v>16</v>
      </c>
      <c r="E81" s="13">
        <f>Sol_Alternativas!N37+Sol_Alternativas!O37</f>
        <v>0</v>
      </c>
      <c r="F81" s="13">
        <f t="shared" si="2"/>
        <v>1181</v>
      </c>
      <c r="G81" s="13">
        <f>Base_Denominadores!F37</f>
        <v>957</v>
      </c>
      <c r="H81" s="21" t="str">
        <f>IF(Base_SINISA_Agua!$C37="Ausente","n.c.",IF(OR(G81="",G81=0),"n.c.",IF(Base_Denominadores!$J37&lt;&gt;"OK","n.c.",F81/G81)))</f>
        <v>n.c.</v>
      </c>
      <c r="I81" s="13" t="str">
        <f>IF(Base_SINISA_Agua!$C37="Ausente","Insatisfatório – prestador ausente",IF(OR(G81="",G81=0),"Não calculado – denominador ausente",IF(Base_Denominadores!$J37&lt;&gt;"OK","Não avaliável – denominador incoerente (ver auditoria)",IF(OR(Base_SINISA_Agua!$AD37="Inconsistente – residencial&gt;total",Base_SINISA_Agua!$AE37="Inconsistente – residencial&gt;total"),"Calculado com ressalva grave – inconsistência residencial/total na fonte",IF(COUNTBLANK(Base_SINISA_Agua!G37:J37)&gt;0,"Calculado com ressalva – parcela ausente = zero","Calculado")))))</f>
        <v>Não avaliável – denominador incoerente (ver auditoria)</v>
      </c>
      <c r="J81" s="13" t="str">
        <f t="shared" si="3"/>
        <v>Não</v>
      </c>
      <c r="K81" s="13" t="str">
        <f t="shared" si="4"/>
        <v>Sol. alternativa p/ não residenciais: sem campo no SINISA, computado como zero.</v>
      </c>
    </row>
    <row r="82" spans="1:11" ht="15" customHeight="1" x14ac:dyDescent="0.35">
      <c r="A82" s="12" t="s">
        <v>150</v>
      </c>
      <c r="B82" s="12">
        <f>Base_SINISA_Agua!G38+Base_SINISA_Agua!H38</f>
        <v>37431</v>
      </c>
      <c r="C82" s="13">
        <f>Base_SINISA_Agua!I38</f>
        <v>3126</v>
      </c>
      <c r="D82" s="13">
        <f>Base_SINISA_Agua!J38</f>
        <v>186</v>
      </c>
      <c r="E82" s="13">
        <f>Sol_Alternativas!N38+Sol_Alternativas!O38</f>
        <v>0</v>
      </c>
      <c r="F82" s="13">
        <f t="shared" si="2"/>
        <v>40743</v>
      </c>
      <c r="G82" s="13">
        <f>Base_Denominadores!F38</f>
        <v>40375</v>
      </c>
      <c r="H82" s="21">
        <f>IF(Base_SINISA_Agua!$C38="Ausente","n.c.",IF(OR(G82="",G82=0),"n.c.",IF(Base_Denominadores!$J38&lt;&gt;"OK","n.c.",F82/G82)))</f>
        <v>1.0091145510835913</v>
      </c>
      <c r="I82" s="13" t="str">
        <f>IF(Base_SINISA_Agua!$C38="Ausente","Insatisfatório – prestador ausente",IF(OR(G82="",G82=0),"Não calculado – denominador ausente",IF(Base_Denominadores!$J38&lt;&gt;"OK","Não avaliável – denominador incoerente (ver auditoria)",IF(OR(Base_SINISA_Agua!$AD38="Inconsistente – residencial&gt;total",Base_SINISA_Agua!$AE38="Inconsistente – residencial&gt;total"),"Calculado com ressalva grave – inconsistência residencial/total na fonte",IF(COUNTBLANK(Base_SINISA_Agua!G38:J38)&gt;0,"Calculado com ressalva – parcela ausente = zero","Calculado")))))</f>
        <v>Calculado</v>
      </c>
      <c r="J82" s="13" t="str">
        <f t="shared" si="3"/>
        <v>Sim</v>
      </c>
      <c r="K82" s="13" t="str">
        <f t="shared" si="4"/>
        <v>Resultado &gt;100% — indício de incompatibilidade numerador/denominador; ressalva de consistência, cálculo mantido. Sol. alternativa p/ não residenciais: sem campo no SINISA, computado como zero.</v>
      </c>
    </row>
    <row r="83" spans="1:11" ht="15" customHeight="1" x14ac:dyDescent="0.35">
      <c r="A83" s="12" t="s">
        <v>151</v>
      </c>
      <c r="B83" s="12">
        <f>Base_SINISA_Agua!G39+Base_SINISA_Agua!H39</f>
        <v>105518</v>
      </c>
      <c r="C83" s="13">
        <f>Base_SINISA_Agua!I39</f>
        <v>9145</v>
      </c>
      <c r="D83" s="13">
        <f>Base_SINISA_Agua!J39</f>
        <v>0</v>
      </c>
      <c r="E83" s="13">
        <f>Sol_Alternativas!N39+Sol_Alternativas!O39</f>
        <v>0</v>
      </c>
      <c r="F83" s="13">
        <f t="shared" si="2"/>
        <v>114663</v>
      </c>
      <c r="G83" s="13">
        <f>Base_Denominadores!F39</f>
        <v>0</v>
      </c>
      <c r="H83" s="21" t="str">
        <f>IF(Base_SINISA_Agua!$C39="Ausente","n.c.",IF(OR(G83="",G83=0),"n.c.",IF(Base_Denominadores!$J39&lt;&gt;"OK","n.c.",F83/G83)))</f>
        <v>n.c.</v>
      </c>
      <c r="I83" s="13" t="str">
        <f>IF(Base_SINISA_Agua!$C39="Ausente","Insatisfatório – prestador ausente",IF(OR(G83="",G83=0),"Não calculado – denominador ausente",IF(Base_Denominadores!$J39&lt;&gt;"OK","Não avaliável – denominador incoerente (ver auditoria)",IF(OR(Base_SINISA_Agua!$AD39="Inconsistente – residencial&gt;total",Base_SINISA_Agua!$AE39="Inconsistente – residencial&gt;total"),"Calculado com ressalva grave – inconsistência residencial/total na fonte",IF(COUNTBLANK(Base_SINISA_Agua!G39:J39)&gt;0,"Calculado com ressalva – parcela ausente = zero","Calculado")))))</f>
        <v>Não calculado – denominador ausente</v>
      </c>
      <c r="J83" s="13" t="str">
        <f t="shared" si="3"/>
        <v>Não</v>
      </c>
      <c r="K83" s="13" t="str">
        <f t="shared" si="4"/>
        <v>Sol. alternativa p/ não residenciais: sem campo no SINISA, computado como zero.</v>
      </c>
    </row>
    <row r="84" spans="1:11" ht="15" customHeight="1" x14ac:dyDescent="0.35">
      <c r="A84" s="12" t="s">
        <v>153</v>
      </c>
      <c r="B84" s="12">
        <f>Base_SINISA_Agua!G40+Base_SINISA_Agua!H40</f>
        <v>5061</v>
      </c>
      <c r="C84" s="13">
        <f>Base_SINISA_Agua!I40</f>
        <v>1287</v>
      </c>
      <c r="D84" s="13">
        <f>Base_SINISA_Agua!J40</f>
        <v>164</v>
      </c>
      <c r="E84" s="13">
        <f>Sol_Alternativas!N40+Sol_Alternativas!O40</f>
        <v>0</v>
      </c>
      <c r="F84" s="13">
        <f t="shared" si="2"/>
        <v>6512</v>
      </c>
      <c r="G84" s="13">
        <f>Base_Denominadores!F40</f>
        <v>0</v>
      </c>
      <c r="H84" s="21" t="str">
        <f>IF(Base_SINISA_Agua!$C40="Ausente","n.c.",IF(OR(G84="",G84=0),"n.c.",IF(Base_Denominadores!$J40&lt;&gt;"OK","n.c.",F84/G84)))</f>
        <v>n.c.</v>
      </c>
      <c r="I84" s="13" t="str">
        <f>IF(Base_SINISA_Agua!$C40="Ausente","Insatisfatório – prestador ausente",IF(OR(G84="",G84=0),"Não calculado – denominador ausente",IF(Base_Denominadores!$J40&lt;&gt;"OK","Não avaliável – denominador incoerente (ver auditoria)",IF(OR(Base_SINISA_Agua!$AD40="Inconsistente – residencial&gt;total",Base_SINISA_Agua!$AE40="Inconsistente – residencial&gt;total"),"Calculado com ressalva grave – inconsistência residencial/total na fonte",IF(COUNTBLANK(Base_SINISA_Agua!G40:J40)&gt;0,"Calculado com ressalva – parcela ausente = zero","Calculado")))))</f>
        <v>Não calculado – denominador ausente</v>
      </c>
      <c r="J84" s="13" t="str">
        <f t="shared" si="3"/>
        <v>Não</v>
      </c>
      <c r="K84" s="13" t="str">
        <f t="shared" si="4"/>
        <v>Sol. alternativa p/ não residenciais: sem campo no SINISA, computado como zero.</v>
      </c>
    </row>
    <row r="85" spans="1:11" ht="15" customHeight="1" x14ac:dyDescent="0.35">
      <c r="A85" s="12" t="s">
        <v>155</v>
      </c>
      <c r="B85" s="12">
        <f>Base_SINISA_Agua!G41+Base_SINISA_Agua!H41</f>
        <v>1893</v>
      </c>
      <c r="C85" s="13">
        <f>Base_SINISA_Agua!I41</f>
        <v>171</v>
      </c>
      <c r="D85" s="13">
        <f>Base_SINISA_Agua!J41</f>
        <v>28</v>
      </c>
      <c r="E85" s="13">
        <f>Sol_Alternativas!N41+Sol_Alternativas!O41</f>
        <v>0</v>
      </c>
      <c r="F85" s="13">
        <f t="shared" si="2"/>
        <v>2092</v>
      </c>
      <c r="G85" s="13">
        <f>Base_Denominadores!F41</f>
        <v>0</v>
      </c>
      <c r="H85" s="21" t="str">
        <f>IF(Base_SINISA_Agua!$C41="Ausente","n.c.",IF(OR(G85="",G85=0),"n.c.",IF(Base_Denominadores!$J41&lt;&gt;"OK","n.c.",F85/G85)))</f>
        <v>n.c.</v>
      </c>
      <c r="I85" s="13" t="str">
        <f>IF(Base_SINISA_Agua!$C41="Ausente","Insatisfatório – prestador ausente",IF(OR(G85="",G85=0),"Não calculado – denominador ausente",IF(Base_Denominadores!$J41&lt;&gt;"OK","Não avaliável – denominador incoerente (ver auditoria)",IF(OR(Base_SINISA_Agua!$AD41="Inconsistente – residencial&gt;total",Base_SINISA_Agua!$AE41="Inconsistente – residencial&gt;total"),"Calculado com ressalva grave – inconsistência residencial/total na fonte",IF(COUNTBLANK(Base_SINISA_Agua!G41:J41)&gt;0,"Calculado com ressalva – parcela ausente = zero","Calculado")))))</f>
        <v>Não calculado – denominador ausente</v>
      </c>
      <c r="J85" s="13" t="str">
        <f t="shared" si="3"/>
        <v>Não</v>
      </c>
      <c r="K85" s="13" t="str">
        <f t="shared" si="4"/>
        <v>Sol. alternativa p/ não residenciais: sem campo no SINISA, computado como zero.</v>
      </c>
    </row>
    <row r="86" spans="1:11" ht="15" customHeight="1" x14ac:dyDescent="0.35">
      <c r="A86" s="12" t="s">
        <v>157</v>
      </c>
      <c r="B86" s="12">
        <f>Base_SINISA_Agua!G42+Base_SINISA_Agua!H42</f>
        <v>2720</v>
      </c>
      <c r="C86" s="13">
        <f>Base_SINISA_Agua!I42</f>
        <v>115</v>
      </c>
      <c r="D86" s="13">
        <f>Base_SINISA_Agua!J42</f>
        <v>0</v>
      </c>
      <c r="E86" s="13">
        <f>Sol_Alternativas!N42+Sol_Alternativas!O42</f>
        <v>0</v>
      </c>
      <c r="F86" s="13">
        <f t="shared" si="2"/>
        <v>2835</v>
      </c>
      <c r="G86" s="13">
        <f>Base_Denominadores!F42</f>
        <v>0</v>
      </c>
      <c r="H86" s="21" t="str">
        <f>IF(Base_SINISA_Agua!$C42="Ausente","n.c.",IF(OR(G86="",G86=0),"n.c.",IF(Base_Denominadores!$J42&lt;&gt;"OK","n.c.",F86/G86)))</f>
        <v>n.c.</v>
      </c>
      <c r="I86" s="13" t="str">
        <f>IF(Base_SINISA_Agua!$C42="Ausente","Insatisfatório – prestador ausente",IF(OR(G86="",G86=0),"Não calculado – denominador ausente",IF(Base_Denominadores!$J42&lt;&gt;"OK","Não avaliável – denominador incoerente (ver auditoria)",IF(OR(Base_SINISA_Agua!$AD42="Inconsistente – residencial&gt;total",Base_SINISA_Agua!$AE42="Inconsistente – residencial&gt;total"),"Calculado com ressalva grave – inconsistência residencial/total na fonte",IF(COUNTBLANK(Base_SINISA_Agua!G42:J42)&gt;0,"Calculado com ressalva – parcela ausente = zero","Calculado")))))</f>
        <v>Não calculado – denominador ausente</v>
      </c>
      <c r="J86" s="13" t="str">
        <f t="shared" si="3"/>
        <v>Não</v>
      </c>
      <c r="K86" s="13" t="str">
        <f t="shared" si="4"/>
        <v>Sol. alternativa p/ não residenciais: sem campo no SINISA, computado como zero.</v>
      </c>
    </row>
    <row r="88" spans="1:11" ht="33.75" customHeight="1" x14ac:dyDescent="0.35">
      <c r="A88" s="2" t="s">
        <v>239</v>
      </c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ht="45.75" customHeight="1" x14ac:dyDescent="0.35">
      <c r="A89" s="20" t="s">
        <v>64</v>
      </c>
      <c r="B89" s="20" t="s">
        <v>240</v>
      </c>
      <c r="C89" s="20" t="s">
        <v>241</v>
      </c>
      <c r="D89" s="20" t="s">
        <v>242</v>
      </c>
      <c r="E89" s="20" t="s">
        <v>243</v>
      </c>
      <c r="F89" s="20" t="s">
        <v>226</v>
      </c>
      <c r="G89" s="20" t="s">
        <v>227</v>
      </c>
      <c r="H89" s="20" t="s">
        <v>244</v>
      </c>
      <c r="I89" s="20" t="s">
        <v>229</v>
      </c>
      <c r="J89" s="20" t="s">
        <v>230</v>
      </c>
      <c r="K89" s="20" t="s">
        <v>231</v>
      </c>
    </row>
    <row r="90" spans="1:11" ht="15" customHeight="1" x14ac:dyDescent="0.35">
      <c r="A90" s="12" t="s">
        <v>94</v>
      </c>
      <c r="B90" s="12">
        <f>Base_SINISA_Esgoto!E3</f>
        <v>0</v>
      </c>
      <c r="C90" s="13">
        <f>Base_SINISA_Esgoto!F3</f>
        <v>0</v>
      </c>
      <c r="D90" s="13">
        <f>Sol_Alternativas!P3</f>
        <v>0</v>
      </c>
      <c r="E90" s="13">
        <f>Sol_Alternativas!Q3</f>
        <v>0</v>
      </c>
      <c r="F90" s="13">
        <f t="shared" ref="F90:F129" si="5">SUM(B90:E90)</f>
        <v>0</v>
      </c>
      <c r="G90" s="13">
        <f>Base_Denominadores!C3</f>
        <v>5039</v>
      </c>
      <c r="H90" s="21">
        <f>IF(OR(Base_SINISA_Esgoto!$C3="Ausente",G90="",G90=0),"n.c.",F90/G90)</f>
        <v>0</v>
      </c>
      <c r="I90" s="13" t="str">
        <f>IF(Base_SINISA_Esgoto!$C3="Ausente","Insatisfatório – prestador ausente",IF(OR(G90="",G90=0),"Não calculado – denominador ausente",IF(OR(Base_SINISA_Esgoto!$R3="Inconsistente – residencial&gt;total",Base_SINISA_Esgoto!$S3="Inconsistente – residencial&gt;total"),"Calculado com ressalva grave – inconsistência residencial/total na fonte",IF(COUNTBLANK(Base_SINISA_Esgoto!E3:F3)&gt;0,"Calculado com ressalva – parcela ausente = zero","Calculado"))))</f>
        <v>Calculado com ressalva – parcela ausente = zero</v>
      </c>
      <c r="J90" s="13" t="str">
        <f t="shared" ref="J90:J129" si="6">IF(I90="Calculado","Sim","Não")</f>
        <v>Não</v>
      </c>
      <c r="K90" s="13" t="str">
        <f>IF(AND(ISNUMBER(H90),H90&gt;1),"Resultado &gt;100% — indício de incompatibilidade numerador/denominador; ressalva de consistência, cálculo mantido. ","")&amp;IF(Sol_Alternativas!$L3="Sim","Esgoto urbano validado e computado.","Esgoto urbano não validado.")&amp;" "&amp;IF(Sol_Alternativas!$M3="Sim","Esgoto rural validado e computado.","Esgoto rural não validado.")</f>
        <v>Esgoto urbano não validado. Esgoto rural não validado.</v>
      </c>
    </row>
    <row r="91" spans="1:11" ht="15" customHeight="1" x14ac:dyDescent="0.35">
      <c r="A91" s="12" t="s">
        <v>97</v>
      </c>
      <c r="B91" s="12">
        <f>Base_SINISA_Esgoto!E4</f>
        <v>0</v>
      </c>
      <c r="C91" s="13">
        <f>Base_SINISA_Esgoto!F4</f>
        <v>0</v>
      </c>
      <c r="D91" s="13">
        <f>Sol_Alternativas!P4</f>
        <v>0</v>
      </c>
      <c r="E91" s="13">
        <f>Sol_Alternativas!Q4</f>
        <v>0</v>
      </c>
      <c r="F91" s="13">
        <f t="shared" si="5"/>
        <v>0</v>
      </c>
      <c r="G91" s="13">
        <f>Base_Denominadores!C4</f>
        <v>1543</v>
      </c>
      <c r="H91" s="21">
        <f>IF(OR(Base_SINISA_Esgoto!$C4="Ausente",G91="",G91=0),"n.c.",F91/G91)</f>
        <v>0</v>
      </c>
      <c r="I91" s="13" t="str">
        <f>IF(Base_SINISA_Esgoto!$C4="Ausente","Insatisfatório – prestador ausente",IF(OR(G91="",G91=0),"Não calculado – denominador ausente",IF(OR(Base_SINISA_Esgoto!$R4="Inconsistente – residencial&gt;total",Base_SINISA_Esgoto!$S4="Inconsistente – residencial&gt;total"),"Calculado com ressalva grave – inconsistência residencial/total na fonte",IF(COUNTBLANK(Base_SINISA_Esgoto!E4:F4)&gt;0,"Calculado com ressalva – parcela ausente = zero","Calculado"))))</f>
        <v>Calculado</v>
      </c>
      <c r="J91" s="13" t="str">
        <f t="shared" si="6"/>
        <v>Sim</v>
      </c>
      <c r="K91" s="13" t="str">
        <f>IF(AND(ISNUMBER(H91),H91&gt;1),"Resultado &gt;100% — indício de incompatibilidade numerador/denominador; ressalva de consistência, cálculo mantido. ","")&amp;IF(Sol_Alternativas!$L4="Sim","Esgoto urbano validado e computado.","Esgoto urbano não validado.")&amp;" "&amp;IF(Sol_Alternativas!$M4="Sim","Esgoto rural validado e computado.","Esgoto rural não validado.")</f>
        <v>Esgoto urbano não validado. Esgoto rural não validado.</v>
      </c>
    </row>
    <row r="92" spans="1:11" ht="15" customHeight="1" x14ac:dyDescent="0.35">
      <c r="A92" s="12" t="s">
        <v>99</v>
      </c>
      <c r="B92" s="12">
        <f>Base_SINISA_Esgoto!E5</f>
        <v>6040</v>
      </c>
      <c r="C92" s="13">
        <f>Base_SINISA_Esgoto!F5</f>
        <v>0</v>
      </c>
      <c r="D92" s="13">
        <f>Sol_Alternativas!P5</f>
        <v>0</v>
      </c>
      <c r="E92" s="13">
        <f>Sol_Alternativas!Q5</f>
        <v>0</v>
      </c>
      <c r="F92" s="13">
        <f t="shared" si="5"/>
        <v>6040</v>
      </c>
      <c r="G92" s="13">
        <f>Base_Denominadores!C5</f>
        <v>9873</v>
      </c>
      <c r="H92" s="21">
        <f>IF(OR(Base_SINISA_Esgoto!$C5="Ausente",G92="",G92=0),"n.c.",F92/G92)</f>
        <v>0.61176947229818701</v>
      </c>
      <c r="I92" s="13" t="str">
        <f>IF(Base_SINISA_Esgoto!$C5="Ausente","Insatisfatório – prestador ausente",IF(OR(G92="",G92=0),"Não calculado – denominador ausente",IF(OR(Base_SINISA_Esgoto!$R5="Inconsistente – residencial&gt;total",Base_SINISA_Esgoto!$S5="Inconsistente – residencial&gt;total"),"Calculado com ressalva grave – inconsistência residencial/total na fonte",IF(COUNTBLANK(Base_SINISA_Esgoto!E5:F5)&gt;0,"Calculado com ressalva – parcela ausente = zero","Calculado"))))</f>
        <v>Calculado com ressalva – parcela ausente = zero</v>
      </c>
      <c r="J92" s="13" t="str">
        <f t="shared" si="6"/>
        <v>Não</v>
      </c>
      <c r="K92" s="13" t="str">
        <f>IF(AND(ISNUMBER(H92),H92&gt;1),"Resultado &gt;100% — indício de incompatibilidade numerador/denominador; ressalva de consistência, cálculo mantido. ","")&amp;IF(Sol_Alternativas!$L5="Sim","Esgoto urbano validado e computado.","Esgoto urbano não validado.")&amp;" "&amp;IF(Sol_Alternativas!$M5="Sim","Esgoto rural validado e computado.","Esgoto rural não validado.")</f>
        <v>Esgoto urbano não validado. Esgoto rural não validado.</v>
      </c>
    </row>
    <row r="93" spans="1:11" ht="15" customHeight="1" x14ac:dyDescent="0.35">
      <c r="A93" s="12" t="s">
        <v>100</v>
      </c>
      <c r="B93" s="12">
        <f>Base_SINISA_Esgoto!E6</f>
        <v>0</v>
      </c>
      <c r="C93" s="13">
        <f>Base_SINISA_Esgoto!F6</f>
        <v>0</v>
      </c>
      <c r="D93" s="13">
        <f>Sol_Alternativas!P6</f>
        <v>0</v>
      </c>
      <c r="E93" s="13">
        <f>Sol_Alternativas!Q6</f>
        <v>0</v>
      </c>
      <c r="F93" s="13">
        <f t="shared" si="5"/>
        <v>0</v>
      </c>
      <c r="G93" s="13">
        <f>Base_Denominadores!C6</f>
        <v>0</v>
      </c>
      <c r="H93" s="21" t="str">
        <f>IF(OR(Base_SINISA_Esgoto!$C6="Ausente",G93="",G93=0),"n.c.",F93/G93)</f>
        <v>n.c.</v>
      </c>
      <c r="I93" s="13" t="str">
        <f>IF(Base_SINISA_Esgoto!$C6="Ausente","Insatisfatório – prestador ausente",IF(OR(G93="",G93=0),"Não calculado – denominador ausente",IF(OR(Base_SINISA_Esgoto!$R6="Inconsistente – residencial&gt;total",Base_SINISA_Esgoto!$S6="Inconsistente – residencial&gt;total"),"Calculado com ressalva grave – inconsistência residencial/total na fonte",IF(COUNTBLANK(Base_SINISA_Esgoto!E6:F6)&gt;0,"Calculado com ressalva – parcela ausente = zero","Calculado"))))</f>
        <v>Insatisfatório – prestador ausente</v>
      </c>
      <c r="J93" s="13" t="str">
        <f t="shared" si="6"/>
        <v>Não</v>
      </c>
      <c r="K93" s="13" t="str">
        <f>IF(AND(ISNUMBER(H93),H93&gt;1),"Resultado &gt;100% — indício de incompatibilidade numerador/denominador; ressalva de consistência, cálculo mantido. ","")&amp;IF(Sol_Alternativas!$L6="Sim","Esgoto urbano validado e computado.","Esgoto urbano não validado.")&amp;" "&amp;IF(Sol_Alternativas!$M6="Sim","Esgoto rural validado e computado.","Esgoto rural não validado.")</f>
        <v>Esgoto urbano não validado. Esgoto rural não validado.</v>
      </c>
    </row>
    <row r="94" spans="1:11" ht="15" customHeight="1" x14ac:dyDescent="0.35">
      <c r="A94" s="12" t="s">
        <v>102</v>
      </c>
      <c r="B94" s="12">
        <f>Base_SINISA_Esgoto!E7</f>
        <v>0</v>
      </c>
      <c r="C94" s="13">
        <f>Base_SINISA_Esgoto!F7</f>
        <v>0</v>
      </c>
      <c r="D94" s="13">
        <f>Sol_Alternativas!P7</f>
        <v>0</v>
      </c>
      <c r="E94" s="13">
        <f>Sol_Alternativas!Q7</f>
        <v>0</v>
      </c>
      <c r="F94" s="13">
        <f t="shared" si="5"/>
        <v>0</v>
      </c>
      <c r="G94" s="13">
        <f>Base_Denominadores!C7</f>
        <v>1057</v>
      </c>
      <c r="H94" s="21">
        <f>IF(OR(Base_SINISA_Esgoto!$C7="Ausente",G94="",G94=0),"n.c.",F94/G94)</f>
        <v>0</v>
      </c>
      <c r="I94" s="13" t="str">
        <f>IF(Base_SINISA_Esgoto!$C7="Ausente","Insatisfatório – prestador ausente",IF(OR(G94="",G94=0),"Não calculado – denominador ausente",IF(OR(Base_SINISA_Esgoto!$R7="Inconsistente – residencial&gt;total",Base_SINISA_Esgoto!$S7="Inconsistente – residencial&gt;total"),"Calculado com ressalva grave – inconsistência residencial/total na fonte",IF(COUNTBLANK(Base_SINISA_Esgoto!E7:F7)&gt;0,"Calculado com ressalva – parcela ausente = zero","Calculado"))))</f>
        <v>Calculado com ressalva – parcela ausente = zero</v>
      </c>
      <c r="J94" s="13" t="str">
        <f t="shared" si="6"/>
        <v>Não</v>
      </c>
      <c r="K94" s="13" t="str">
        <f>IF(AND(ISNUMBER(H94),H94&gt;1),"Resultado &gt;100% — indício de incompatibilidade numerador/denominador; ressalva de consistência, cálculo mantido. ","")&amp;IF(Sol_Alternativas!$L7="Sim","Esgoto urbano validado e computado.","Esgoto urbano não validado.")&amp;" "&amp;IF(Sol_Alternativas!$M7="Sim","Esgoto rural validado e computado.","Esgoto rural não validado.")</f>
        <v>Esgoto urbano não validado. Esgoto rural não validado.</v>
      </c>
    </row>
    <row r="95" spans="1:11" ht="15" customHeight="1" x14ac:dyDescent="0.35">
      <c r="A95" s="12" t="s">
        <v>104</v>
      </c>
      <c r="B95" s="12">
        <f>Base_SINISA_Esgoto!E8</f>
        <v>1092</v>
      </c>
      <c r="C95" s="13">
        <f>Base_SINISA_Esgoto!F8</f>
        <v>0</v>
      </c>
      <c r="D95" s="13">
        <f>Sol_Alternativas!P8</f>
        <v>0</v>
      </c>
      <c r="E95" s="13">
        <f>Sol_Alternativas!Q8</f>
        <v>0</v>
      </c>
      <c r="F95" s="13">
        <f t="shared" si="5"/>
        <v>1092</v>
      </c>
      <c r="G95" s="13">
        <f>Base_Denominadores!C8</f>
        <v>12515</v>
      </c>
      <c r="H95" s="21">
        <f>IF(OR(Base_SINISA_Esgoto!$C8="Ausente",G95="",G95=0),"n.c.",F95/G95)</f>
        <v>8.7255293647622856E-2</v>
      </c>
      <c r="I95" s="13" t="str">
        <f>IF(Base_SINISA_Esgoto!$C8="Ausente","Insatisfatório – prestador ausente",IF(OR(G95="",G95=0),"Não calculado – denominador ausente",IF(OR(Base_SINISA_Esgoto!$R8="Inconsistente – residencial&gt;total",Base_SINISA_Esgoto!$S8="Inconsistente – residencial&gt;total"),"Calculado com ressalva grave – inconsistência residencial/total na fonte",IF(COUNTBLANK(Base_SINISA_Esgoto!E8:F8)&gt;0,"Calculado com ressalva – parcela ausente = zero","Calculado"))))</f>
        <v>Calculado</v>
      </c>
      <c r="J95" s="13" t="str">
        <f t="shared" si="6"/>
        <v>Sim</v>
      </c>
      <c r="K95" s="13" t="str">
        <f>IF(AND(ISNUMBER(H95),H95&gt;1),"Resultado &gt;100% — indício de incompatibilidade numerador/denominador; ressalva de consistência, cálculo mantido. ","")&amp;IF(Sol_Alternativas!$L8="Sim","Esgoto urbano validado e computado.","Esgoto urbano não validado.")&amp;" "&amp;IF(Sol_Alternativas!$M8="Sim","Esgoto rural validado e computado.","Esgoto rural não validado.")</f>
        <v>Esgoto urbano não validado. Esgoto rural não validado.</v>
      </c>
    </row>
    <row r="96" spans="1:11" ht="15" customHeight="1" x14ac:dyDescent="0.35">
      <c r="A96" s="12" t="s">
        <v>106</v>
      </c>
      <c r="B96" s="12">
        <f>Base_SINISA_Esgoto!E9</f>
        <v>0</v>
      </c>
      <c r="C96" s="13">
        <f>Base_SINISA_Esgoto!F9</f>
        <v>0</v>
      </c>
      <c r="D96" s="13">
        <f>Sol_Alternativas!P9</f>
        <v>0</v>
      </c>
      <c r="E96" s="13">
        <f>Sol_Alternativas!Q9</f>
        <v>0</v>
      </c>
      <c r="F96" s="13">
        <f t="shared" si="5"/>
        <v>0</v>
      </c>
      <c r="G96" s="13">
        <f>Base_Denominadores!C9</f>
        <v>2293</v>
      </c>
      <c r="H96" s="21" t="str">
        <f>IF(OR(Base_SINISA_Esgoto!$C9="Ausente",G96="",G96=0),"n.c.",F96/G96)</f>
        <v>n.c.</v>
      </c>
      <c r="I96" s="13" t="str">
        <f>IF(Base_SINISA_Esgoto!$C9="Ausente","Insatisfatório – prestador ausente",IF(OR(G96="",G96=0),"Não calculado – denominador ausente",IF(OR(Base_SINISA_Esgoto!$R9="Inconsistente – residencial&gt;total",Base_SINISA_Esgoto!$S9="Inconsistente – residencial&gt;total"),"Calculado com ressalva grave – inconsistência residencial/total na fonte",IF(COUNTBLANK(Base_SINISA_Esgoto!E9:F9)&gt;0,"Calculado com ressalva – parcela ausente = zero","Calculado"))))</f>
        <v>Insatisfatório – prestador ausente</v>
      </c>
      <c r="J96" s="13" t="str">
        <f t="shared" si="6"/>
        <v>Não</v>
      </c>
      <c r="K96" s="13" t="str">
        <f>IF(AND(ISNUMBER(H96),H96&gt;1),"Resultado &gt;100% — indício de incompatibilidade numerador/denominador; ressalva de consistência, cálculo mantido. ","")&amp;IF(Sol_Alternativas!$L9="Sim","Esgoto urbano validado e computado.","Esgoto urbano não validado.")&amp;" "&amp;IF(Sol_Alternativas!$M9="Sim","Esgoto rural validado e computado.","Esgoto rural não validado.")</f>
        <v>Esgoto urbano não validado. Esgoto rural não validado.</v>
      </c>
    </row>
    <row r="97" spans="1:11" ht="15" customHeight="1" x14ac:dyDescent="0.35">
      <c r="A97" s="12" t="s">
        <v>108</v>
      </c>
      <c r="B97" s="12">
        <f>Base_SINISA_Esgoto!E10</f>
        <v>0</v>
      </c>
      <c r="C97" s="13">
        <f>Base_SINISA_Esgoto!F10</f>
        <v>0</v>
      </c>
      <c r="D97" s="13">
        <f>Sol_Alternativas!P10</f>
        <v>0</v>
      </c>
      <c r="E97" s="13">
        <f>Sol_Alternativas!Q10</f>
        <v>0</v>
      </c>
      <c r="F97" s="13">
        <f t="shared" si="5"/>
        <v>0</v>
      </c>
      <c r="G97" s="13">
        <f>Base_Denominadores!C10</f>
        <v>8120</v>
      </c>
      <c r="H97" s="21">
        <f>IF(OR(Base_SINISA_Esgoto!$C10="Ausente",G97="",G97=0),"n.c.",F97/G97)</f>
        <v>0</v>
      </c>
      <c r="I97" s="13" t="str">
        <f>IF(Base_SINISA_Esgoto!$C10="Ausente","Insatisfatório – prestador ausente",IF(OR(G97="",G97=0),"Não calculado – denominador ausente",IF(OR(Base_SINISA_Esgoto!$R10="Inconsistente – residencial&gt;total",Base_SINISA_Esgoto!$S10="Inconsistente – residencial&gt;total"),"Calculado com ressalva grave – inconsistência residencial/total na fonte",IF(COUNTBLANK(Base_SINISA_Esgoto!E10:F10)&gt;0,"Calculado com ressalva – parcela ausente = zero","Calculado"))))</f>
        <v>Calculado com ressalva – parcela ausente = zero</v>
      </c>
      <c r="J97" s="13" t="str">
        <f t="shared" si="6"/>
        <v>Não</v>
      </c>
      <c r="K97" s="13" t="str">
        <f>IF(AND(ISNUMBER(H97),H97&gt;1),"Resultado &gt;100% — indício de incompatibilidade numerador/denominador; ressalva de consistência, cálculo mantido. ","")&amp;IF(Sol_Alternativas!$L10="Sim","Esgoto urbano validado e computado.","Esgoto urbano não validado.")&amp;" "&amp;IF(Sol_Alternativas!$M10="Sim","Esgoto rural validado e computado.","Esgoto rural não validado.")</f>
        <v>Esgoto urbano não validado. Esgoto rural não validado.</v>
      </c>
    </row>
    <row r="98" spans="1:11" ht="15" customHeight="1" x14ac:dyDescent="0.35">
      <c r="A98" s="12" t="s">
        <v>109</v>
      </c>
      <c r="B98" s="12">
        <f>Base_SINISA_Esgoto!E11</f>
        <v>0</v>
      </c>
      <c r="C98" s="13">
        <f>Base_SINISA_Esgoto!F11</f>
        <v>0</v>
      </c>
      <c r="D98" s="13">
        <f>Sol_Alternativas!P11</f>
        <v>0</v>
      </c>
      <c r="E98" s="13">
        <f>Sol_Alternativas!Q11</f>
        <v>0</v>
      </c>
      <c r="F98" s="13">
        <f t="shared" si="5"/>
        <v>0</v>
      </c>
      <c r="G98" s="13">
        <f>Base_Denominadores!C11</f>
        <v>101387</v>
      </c>
      <c r="H98" s="21">
        <f>IF(OR(Base_SINISA_Esgoto!$C11="Ausente",G98="",G98=0),"n.c.",F98/G98)</f>
        <v>0</v>
      </c>
      <c r="I98" s="13" t="str">
        <f>IF(Base_SINISA_Esgoto!$C11="Ausente","Insatisfatório – prestador ausente",IF(OR(G98="",G98=0),"Não calculado – denominador ausente",IF(OR(Base_SINISA_Esgoto!$R11="Inconsistente – residencial&gt;total",Base_SINISA_Esgoto!$S11="Inconsistente – residencial&gt;total"),"Calculado com ressalva grave – inconsistência residencial/total na fonte",IF(COUNTBLANK(Base_SINISA_Esgoto!E11:F11)&gt;0,"Calculado com ressalva – parcela ausente = zero","Calculado"))))</f>
        <v>Calculado com ressalva – parcela ausente = zero</v>
      </c>
      <c r="J98" s="13" t="str">
        <f t="shared" si="6"/>
        <v>Não</v>
      </c>
      <c r="K98" s="13" t="str">
        <f>IF(AND(ISNUMBER(H98),H98&gt;1),"Resultado &gt;100% — indício de incompatibilidade numerador/denominador; ressalva de consistência, cálculo mantido. ","")&amp;IF(Sol_Alternativas!$L11="Sim","Esgoto urbano validado e computado.","Esgoto urbano não validado.")&amp;" "&amp;IF(Sol_Alternativas!$M11="Sim","Esgoto rural validado e computado.","Esgoto rural não validado.")</f>
        <v>Esgoto urbano não validado. Esgoto rural não validado.</v>
      </c>
    </row>
    <row r="99" spans="1:11" ht="15" customHeight="1" x14ac:dyDescent="0.35">
      <c r="A99" s="12" t="s">
        <v>111</v>
      </c>
      <c r="B99" s="12">
        <f>Base_SINISA_Esgoto!E12</f>
        <v>2660</v>
      </c>
      <c r="C99" s="13">
        <f>Base_SINISA_Esgoto!F12</f>
        <v>0</v>
      </c>
      <c r="D99" s="13">
        <f>Sol_Alternativas!P12</f>
        <v>0</v>
      </c>
      <c r="E99" s="13">
        <f>Sol_Alternativas!Q12</f>
        <v>0</v>
      </c>
      <c r="F99" s="13">
        <f t="shared" si="5"/>
        <v>2660</v>
      </c>
      <c r="G99" s="13">
        <f>Base_Denominadores!C12</f>
        <v>0</v>
      </c>
      <c r="H99" s="21" t="str">
        <f>IF(OR(Base_SINISA_Esgoto!$C12="Ausente",G99="",G99=0),"n.c.",F99/G99)</f>
        <v>n.c.</v>
      </c>
      <c r="I99" s="13" t="str">
        <f>IF(Base_SINISA_Esgoto!$C12="Ausente","Insatisfatório – prestador ausente",IF(OR(G99="",G99=0),"Não calculado – denominador ausente",IF(OR(Base_SINISA_Esgoto!$R12="Inconsistente – residencial&gt;total",Base_SINISA_Esgoto!$S12="Inconsistente – residencial&gt;total"),"Calculado com ressalva grave – inconsistência residencial/total na fonte",IF(COUNTBLANK(Base_SINISA_Esgoto!E12:F12)&gt;0,"Calculado com ressalva – parcela ausente = zero","Calculado"))))</f>
        <v>Não calculado – denominador ausente</v>
      </c>
      <c r="J99" s="13" t="str">
        <f t="shared" si="6"/>
        <v>Não</v>
      </c>
      <c r="K99" s="13" t="str">
        <f>IF(AND(ISNUMBER(H99),H99&gt;1),"Resultado &gt;100% — indício de incompatibilidade numerador/denominador; ressalva de consistência, cálculo mantido. ","")&amp;IF(Sol_Alternativas!$L12="Sim","Esgoto urbano validado e computado.","Esgoto urbano não validado.")&amp;" "&amp;IF(Sol_Alternativas!$M12="Sim","Esgoto rural validado e computado.","Esgoto rural não validado.")</f>
        <v>Esgoto urbano não validado. Esgoto rural não validado.</v>
      </c>
    </row>
    <row r="100" spans="1:11" ht="15" customHeight="1" x14ac:dyDescent="0.35">
      <c r="A100" s="12" t="s">
        <v>113</v>
      </c>
      <c r="B100" s="12">
        <f>Base_SINISA_Esgoto!E13</f>
        <v>0</v>
      </c>
      <c r="C100" s="13">
        <f>Base_SINISA_Esgoto!F13</f>
        <v>0</v>
      </c>
      <c r="D100" s="13">
        <f>Sol_Alternativas!P13</f>
        <v>0</v>
      </c>
      <c r="E100" s="13">
        <f>Sol_Alternativas!Q13</f>
        <v>0</v>
      </c>
      <c r="F100" s="13">
        <f t="shared" si="5"/>
        <v>0</v>
      </c>
      <c r="G100" s="13">
        <f>Base_Denominadores!C13</f>
        <v>7788</v>
      </c>
      <c r="H100" s="21">
        <f>IF(OR(Base_SINISA_Esgoto!$C13="Ausente",G100="",G100=0),"n.c.",F100/G100)</f>
        <v>0</v>
      </c>
      <c r="I100" s="13" t="str">
        <f>IF(Base_SINISA_Esgoto!$C13="Ausente","Insatisfatório – prestador ausente",IF(OR(G100="",G100=0),"Não calculado – denominador ausente",IF(OR(Base_SINISA_Esgoto!$R13="Inconsistente – residencial&gt;total",Base_SINISA_Esgoto!$S13="Inconsistente – residencial&gt;total"),"Calculado com ressalva grave – inconsistência residencial/total na fonte",IF(COUNTBLANK(Base_SINISA_Esgoto!E13:F13)&gt;0,"Calculado com ressalva – parcela ausente = zero","Calculado"))))</f>
        <v>Calculado</v>
      </c>
      <c r="J100" s="13" t="str">
        <f t="shared" si="6"/>
        <v>Sim</v>
      </c>
      <c r="K100" s="13" t="str">
        <f>IF(AND(ISNUMBER(H100),H100&gt;1),"Resultado &gt;100% — indício de incompatibilidade numerador/denominador; ressalva de consistência, cálculo mantido. ","")&amp;IF(Sol_Alternativas!$L13="Sim","Esgoto urbano validado e computado.","Esgoto urbano não validado.")&amp;" "&amp;IF(Sol_Alternativas!$M13="Sim","Esgoto rural validado e computado.","Esgoto rural não validado.")</f>
        <v>Esgoto urbano não validado. Esgoto rural não validado.</v>
      </c>
    </row>
    <row r="101" spans="1:11" ht="15" customHeight="1" x14ac:dyDescent="0.35">
      <c r="A101" s="12" t="s">
        <v>114</v>
      </c>
      <c r="B101" s="12">
        <f>Base_SINISA_Esgoto!E14</f>
        <v>0</v>
      </c>
      <c r="C101" s="13">
        <f>Base_SINISA_Esgoto!F14</f>
        <v>0</v>
      </c>
      <c r="D101" s="13">
        <f>Sol_Alternativas!P14</f>
        <v>0</v>
      </c>
      <c r="E101" s="13">
        <f>Sol_Alternativas!Q14</f>
        <v>0</v>
      </c>
      <c r="F101" s="13">
        <f t="shared" si="5"/>
        <v>0</v>
      </c>
      <c r="G101" s="13">
        <f>Base_Denominadores!C14</f>
        <v>7498</v>
      </c>
      <c r="H101" s="21">
        <f>IF(OR(Base_SINISA_Esgoto!$C14="Ausente",G101="",G101=0),"n.c.",F101/G101)</f>
        <v>0</v>
      </c>
      <c r="I101" s="13" t="str">
        <f>IF(Base_SINISA_Esgoto!$C14="Ausente","Insatisfatório – prestador ausente",IF(OR(G101="",G101=0),"Não calculado – denominador ausente",IF(OR(Base_SINISA_Esgoto!$R14="Inconsistente – residencial&gt;total",Base_SINISA_Esgoto!$S14="Inconsistente – residencial&gt;total"),"Calculado com ressalva grave – inconsistência residencial/total na fonte",IF(COUNTBLANK(Base_SINISA_Esgoto!E14:F14)&gt;0,"Calculado com ressalva – parcela ausente = zero","Calculado"))))</f>
        <v>Calculado com ressalva – parcela ausente = zero</v>
      </c>
      <c r="J101" s="13" t="str">
        <f t="shared" si="6"/>
        <v>Não</v>
      </c>
      <c r="K101" s="13" t="str">
        <f>IF(AND(ISNUMBER(H101),H101&gt;1),"Resultado &gt;100% — indício de incompatibilidade numerador/denominador; ressalva de consistência, cálculo mantido. ","")&amp;IF(Sol_Alternativas!$L14="Sim","Esgoto urbano validado e computado.","Esgoto urbano não validado.")&amp;" "&amp;IF(Sol_Alternativas!$M14="Sim","Esgoto rural validado e computado.","Esgoto rural não validado.")</f>
        <v>Esgoto urbano não validado. Esgoto rural não validado.</v>
      </c>
    </row>
    <row r="102" spans="1:11" ht="15" customHeight="1" x14ac:dyDescent="0.35">
      <c r="A102" s="12" t="s">
        <v>115</v>
      </c>
      <c r="B102" s="12">
        <f>Base_SINISA_Esgoto!E15</f>
        <v>0</v>
      </c>
      <c r="C102" s="13">
        <f>Base_SINISA_Esgoto!F15</f>
        <v>0</v>
      </c>
      <c r="D102" s="13">
        <f>Sol_Alternativas!P15</f>
        <v>0</v>
      </c>
      <c r="E102" s="13">
        <f>Sol_Alternativas!Q15</f>
        <v>0</v>
      </c>
      <c r="F102" s="13">
        <f t="shared" si="5"/>
        <v>0</v>
      </c>
      <c r="G102" s="13">
        <f>Base_Denominadores!C15</f>
        <v>1577</v>
      </c>
      <c r="H102" s="21" t="str">
        <f>IF(OR(Base_SINISA_Esgoto!$C15="Ausente",G102="",G102=0),"n.c.",F102/G102)</f>
        <v>n.c.</v>
      </c>
      <c r="I102" s="13" t="str">
        <f>IF(Base_SINISA_Esgoto!$C15="Ausente","Insatisfatório – prestador ausente",IF(OR(G102="",G102=0),"Não calculado – denominador ausente",IF(OR(Base_SINISA_Esgoto!$R15="Inconsistente – residencial&gt;total",Base_SINISA_Esgoto!$S15="Inconsistente – residencial&gt;total"),"Calculado com ressalva grave – inconsistência residencial/total na fonte",IF(COUNTBLANK(Base_SINISA_Esgoto!E15:F15)&gt;0,"Calculado com ressalva – parcela ausente = zero","Calculado"))))</f>
        <v>Insatisfatório – prestador ausente</v>
      </c>
      <c r="J102" s="13" t="str">
        <f t="shared" si="6"/>
        <v>Não</v>
      </c>
      <c r="K102" s="13" t="str">
        <f>IF(AND(ISNUMBER(H102),H102&gt;1),"Resultado &gt;100% — indício de incompatibilidade numerador/denominador; ressalva de consistência, cálculo mantido. ","")&amp;IF(Sol_Alternativas!$L15="Sim","Esgoto urbano validado e computado.","Esgoto urbano não validado.")&amp;" "&amp;IF(Sol_Alternativas!$M15="Sim","Esgoto rural validado e computado.","Esgoto rural não validado.")</f>
        <v>Esgoto urbano não validado. Esgoto rural não validado.</v>
      </c>
    </row>
    <row r="103" spans="1:11" ht="15" customHeight="1" x14ac:dyDescent="0.35">
      <c r="A103" s="12" t="s">
        <v>117</v>
      </c>
      <c r="B103" s="12">
        <f>Base_SINISA_Esgoto!E16</f>
        <v>0</v>
      </c>
      <c r="C103" s="13">
        <f>Base_SINISA_Esgoto!F16</f>
        <v>0</v>
      </c>
      <c r="D103" s="13">
        <f>Sol_Alternativas!P16</f>
        <v>0</v>
      </c>
      <c r="E103" s="13">
        <f>Sol_Alternativas!Q16</f>
        <v>0</v>
      </c>
      <c r="F103" s="13">
        <f t="shared" si="5"/>
        <v>0</v>
      </c>
      <c r="G103" s="13">
        <f>Base_Denominadores!C16</f>
        <v>2345</v>
      </c>
      <c r="H103" s="21">
        <f>IF(OR(Base_SINISA_Esgoto!$C16="Ausente",G103="",G103=0),"n.c.",F103/G103)</f>
        <v>0</v>
      </c>
      <c r="I103" s="13" t="str">
        <f>IF(Base_SINISA_Esgoto!$C16="Ausente","Insatisfatório – prestador ausente",IF(OR(G103="",G103=0),"Não calculado – denominador ausente",IF(OR(Base_SINISA_Esgoto!$R16="Inconsistente – residencial&gt;total",Base_SINISA_Esgoto!$S16="Inconsistente – residencial&gt;total"),"Calculado com ressalva grave – inconsistência residencial/total na fonte",IF(COUNTBLANK(Base_SINISA_Esgoto!E16:F16)&gt;0,"Calculado com ressalva – parcela ausente = zero","Calculado"))))</f>
        <v>Calculado com ressalva – parcela ausente = zero</v>
      </c>
      <c r="J103" s="13" t="str">
        <f t="shared" si="6"/>
        <v>Não</v>
      </c>
      <c r="K103" s="13" t="str">
        <f>IF(AND(ISNUMBER(H103),H103&gt;1),"Resultado &gt;100% — indício de incompatibilidade numerador/denominador; ressalva de consistência, cálculo mantido. ","")&amp;IF(Sol_Alternativas!$L16="Sim","Esgoto urbano validado e computado.","Esgoto urbano não validado.")&amp;" "&amp;IF(Sol_Alternativas!$M16="Sim","Esgoto rural validado e computado.","Esgoto rural não validado.")</f>
        <v>Esgoto urbano não validado. Esgoto rural não validado.</v>
      </c>
    </row>
    <row r="104" spans="1:11" ht="15" customHeight="1" x14ac:dyDescent="0.35">
      <c r="A104" s="12" t="s">
        <v>119</v>
      </c>
      <c r="B104" s="12">
        <f>Base_SINISA_Esgoto!E17</f>
        <v>0</v>
      </c>
      <c r="C104" s="13">
        <f>Base_SINISA_Esgoto!F17</f>
        <v>0</v>
      </c>
      <c r="D104" s="13">
        <f>Sol_Alternativas!P17</f>
        <v>0</v>
      </c>
      <c r="E104" s="13">
        <f>Sol_Alternativas!Q17</f>
        <v>0</v>
      </c>
      <c r="F104" s="13">
        <f t="shared" si="5"/>
        <v>0</v>
      </c>
      <c r="G104" s="13">
        <f>Base_Denominadores!C17</f>
        <v>4567</v>
      </c>
      <c r="H104" s="21">
        <f>IF(OR(Base_SINISA_Esgoto!$C17="Ausente",G104="",G104=0),"n.c.",F104/G104)</f>
        <v>0</v>
      </c>
      <c r="I104" s="13" t="str">
        <f>IF(Base_SINISA_Esgoto!$C17="Ausente","Insatisfatório – prestador ausente",IF(OR(G104="",G104=0),"Não calculado – denominador ausente",IF(OR(Base_SINISA_Esgoto!$R17="Inconsistente – residencial&gt;total",Base_SINISA_Esgoto!$S17="Inconsistente – residencial&gt;total"),"Calculado com ressalva grave – inconsistência residencial/total na fonte",IF(COUNTBLANK(Base_SINISA_Esgoto!E17:F17)&gt;0,"Calculado com ressalva – parcela ausente = zero","Calculado"))))</f>
        <v>Calculado</v>
      </c>
      <c r="J104" s="13" t="str">
        <f t="shared" si="6"/>
        <v>Sim</v>
      </c>
      <c r="K104" s="13" t="str">
        <f>IF(AND(ISNUMBER(H104),H104&gt;1),"Resultado &gt;100% — indício de incompatibilidade numerador/denominador; ressalva de consistência, cálculo mantido. ","")&amp;IF(Sol_Alternativas!$L17="Sim","Esgoto urbano validado e computado.","Esgoto urbano não validado.")&amp;" "&amp;IF(Sol_Alternativas!$M17="Sim","Esgoto rural validado e computado.","Esgoto rural não validado.")</f>
        <v>Esgoto urbano não validado. Esgoto rural não validado.</v>
      </c>
    </row>
    <row r="105" spans="1:11" ht="15" customHeight="1" x14ac:dyDescent="0.35">
      <c r="A105" s="12" t="s">
        <v>121</v>
      </c>
      <c r="B105" s="12">
        <f>Base_SINISA_Esgoto!E18</f>
        <v>0</v>
      </c>
      <c r="C105" s="13">
        <f>Base_SINISA_Esgoto!F18</f>
        <v>0</v>
      </c>
      <c r="D105" s="13">
        <f>Sol_Alternativas!P18</f>
        <v>0</v>
      </c>
      <c r="E105" s="13">
        <f>Sol_Alternativas!Q18</f>
        <v>0</v>
      </c>
      <c r="F105" s="13">
        <f t="shared" si="5"/>
        <v>0</v>
      </c>
      <c r="G105" s="13">
        <f>Base_Denominadores!C18</f>
        <v>0</v>
      </c>
      <c r="H105" s="21" t="str">
        <f>IF(OR(Base_SINISA_Esgoto!$C18="Ausente",G105="",G105=0),"n.c.",F105/G105)</f>
        <v>n.c.</v>
      </c>
      <c r="I105" s="13" t="str">
        <f>IF(Base_SINISA_Esgoto!$C18="Ausente","Insatisfatório – prestador ausente",IF(OR(G105="",G105=0),"Não calculado – denominador ausente",IF(OR(Base_SINISA_Esgoto!$R18="Inconsistente – residencial&gt;total",Base_SINISA_Esgoto!$S18="Inconsistente – residencial&gt;total"),"Calculado com ressalva grave – inconsistência residencial/total na fonte",IF(COUNTBLANK(Base_SINISA_Esgoto!E18:F18)&gt;0,"Calculado com ressalva – parcela ausente = zero","Calculado"))))</f>
        <v>Não calculado – denominador ausente</v>
      </c>
      <c r="J105" s="13" t="str">
        <f t="shared" si="6"/>
        <v>Não</v>
      </c>
      <c r="K105" s="13" t="str">
        <f>IF(AND(ISNUMBER(H105),H105&gt;1),"Resultado &gt;100% — indício de incompatibilidade numerador/denominador; ressalva de consistência, cálculo mantido. ","")&amp;IF(Sol_Alternativas!$L18="Sim","Esgoto urbano validado e computado.","Esgoto urbano não validado.")&amp;" "&amp;IF(Sol_Alternativas!$M18="Sim","Esgoto rural validado e computado.","Esgoto rural não validado.")</f>
        <v>Esgoto urbano não validado. Esgoto rural não validado.</v>
      </c>
    </row>
    <row r="106" spans="1:11" ht="15" customHeight="1" x14ac:dyDescent="0.35">
      <c r="A106" s="12" t="s">
        <v>122</v>
      </c>
      <c r="B106" s="12">
        <f>Base_SINISA_Esgoto!E19</f>
        <v>0</v>
      </c>
      <c r="C106" s="13">
        <f>Base_SINISA_Esgoto!F19</f>
        <v>0</v>
      </c>
      <c r="D106" s="13">
        <f>Sol_Alternativas!P19</f>
        <v>0</v>
      </c>
      <c r="E106" s="13">
        <f>Sol_Alternativas!Q19</f>
        <v>0</v>
      </c>
      <c r="F106" s="13">
        <f t="shared" si="5"/>
        <v>0</v>
      </c>
      <c r="G106" s="13">
        <f>Base_Denominadores!C19</f>
        <v>7084</v>
      </c>
      <c r="H106" s="21">
        <f>IF(OR(Base_SINISA_Esgoto!$C19="Ausente",G106="",G106=0),"n.c.",F106/G106)</f>
        <v>0</v>
      </c>
      <c r="I106" s="13" t="str">
        <f>IF(Base_SINISA_Esgoto!$C19="Ausente","Insatisfatório – prestador ausente",IF(OR(G106="",G106=0),"Não calculado – denominador ausente",IF(OR(Base_SINISA_Esgoto!$R19="Inconsistente – residencial&gt;total",Base_SINISA_Esgoto!$S19="Inconsistente – residencial&gt;total"),"Calculado com ressalva grave – inconsistência residencial/total na fonte",IF(COUNTBLANK(Base_SINISA_Esgoto!E19:F19)&gt;0,"Calculado com ressalva – parcela ausente = zero","Calculado"))))</f>
        <v>Calculado com ressalva – parcela ausente = zero</v>
      </c>
      <c r="J106" s="13" t="str">
        <f t="shared" si="6"/>
        <v>Não</v>
      </c>
      <c r="K106" s="13" t="str">
        <f>IF(AND(ISNUMBER(H106),H106&gt;1),"Resultado &gt;100% — indício de incompatibilidade numerador/denominador; ressalva de consistência, cálculo mantido. ","")&amp;IF(Sol_Alternativas!$L19="Sim","Esgoto urbano validado e computado.","Esgoto urbano não validado.")&amp;" "&amp;IF(Sol_Alternativas!$M19="Sim","Esgoto rural validado e computado.","Esgoto rural não validado.")</f>
        <v>Esgoto urbano não validado. Esgoto rural não validado.</v>
      </c>
    </row>
    <row r="107" spans="1:11" ht="15" customHeight="1" x14ac:dyDescent="0.35">
      <c r="A107" s="12" t="s">
        <v>123</v>
      </c>
      <c r="B107" s="12">
        <f>Base_SINISA_Esgoto!E20</f>
        <v>25620</v>
      </c>
      <c r="C107" s="13">
        <f>Base_SINISA_Esgoto!F20</f>
        <v>0</v>
      </c>
      <c r="D107" s="13">
        <f>Sol_Alternativas!P20</f>
        <v>0</v>
      </c>
      <c r="E107" s="13">
        <f>Sol_Alternativas!Q20</f>
        <v>0</v>
      </c>
      <c r="F107" s="13">
        <f t="shared" si="5"/>
        <v>25620</v>
      </c>
      <c r="G107" s="13">
        <f>Base_Denominadores!C20</f>
        <v>34980</v>
      </c>
      <c r="H107" s="21">
        <f>IF(OR(Base_SINISA_Esgoto!$C20="Ausente",G107="",G107=0),"n.c.",F107/G107)</f>
        <v>0.73241852487135506</v>
      </c>
      <c r="I107" s="13" t="str">
        <f>IF(Base_SINISA_Esgoto!$C20="Ausente","Insatisfatório – prestador ausente",IF(OR(G107="",G107=0),"Não calculado – denominador ausente",IF(OR(Base_SINISA_Esgoto!$R20="Inconsistente – residencial&gt;total",Base_SINISA_Esgoto!$S20="Inconsistente – residencial&gt;total"),"Calculado com ressalva grave – inconsistência residencial/total na fonte",IF(COUNTBLANK(Base_SINISA_Esgoto!E20:F20)&gt;0,"Calculado com ressalva – parcela ausente = zero","Calculado"))))</f>
        <v>Calculado</v>
      </c>
      <c r="J107" s="13" t="str">
        <f t="shared" si="6"/>
        <v>Sim</v>
      </c>
      <c r="K107" s="13" t="str">
        <f>IF(AND(ISNUMBER(H107),H107&gt;1),"Resultado &gt;100% — indício de incompatibilidade numerador/denominador; ressalva de consistência, cálculo mantido. ","")&amp;IF(Sol_Alternativas!$L20="Sim","Esgoto urbano validado e computado.","Esgoto urbano não validado.")&amp;" "&amp;IF(Sol_Alternativas!$M20="Sim","Esgoto rural validado e computado.","Esgoto rural não validado.")</f>
        <v>Esgoto urbano não validado. Esgoto rural não validado.</v>
      </c>
    </row>
    <row r="108" spans="1:11" ht="15" customHeight="1" x14ac:dyDescent="0.35">
      <c r="A108" s="12" t="s">
        <v>125</v>
      </c>
      <c r="B108" s="12">
        <f>Base_SINISA_Esgoto!E21</f>
        <v>6628</v>
      </c>
      <c r="C108" s="13">
        <f>Base_SINISA_Esgoto!F21</f>
        <v>0</v>
      </c>
      <c r="D108" s="13">
        <f>Sol_Alternativas!P21</f>
        <v>0</v>
      </c>
      <c r="E108" s="13">
        <f>Sol_Alternativas!Q21</f>
        <v>0</v>
      </c>
      <c r="F108" s="13">
        <f t="shared" si="5"/>
        <v>6628</v>
      </c>
      <c r="G108" s="13">
        <f>Base_Denominadores!C21</f>
        <v>7795</v>
      </c>
      <c r="H108" s="21">
        <f>IF(OR(Base_SINISA_Esgoto!$C21="Ausente",G108="",G108=0),"n.c.",F108/G108)</f>
        <v>0.85028864656831304</v>
      </c>
      <c r="I108" s="13" t="str">
        <f>IF(Base_SINISA_Esgoto!$C21="Ausente","Insatisfatório – prestador ausente",IF(OR(G108="",G108=0),"Não calculado – denominador ausente",IF(OR(Base_SINISA_Esgoto!$R21="Inconsistente – residencial&gt;total",Base_SINISA_Esgoto!$S21="Inconsistente – residencial&gt;total"),"Calculado com ressalva grave – inconsistência residencial/total na fonte",IF(COUNTBLANK(Base_SINISA_Esgoto!E21:F21)&gt;0,"Calculado com ressalva – parcela ausente = zero","Calculado"))))</f>
        <v>Calculado com ressalva – parcela ausente = zero</v>
      </c>
      <c r="J108" s="13" t="str">
        <f t="shared" si="6"/>
        <v>Não</v>
      </c>
      <c r="K108" s="13" t="str">
        <f>IF(AND(ISNUMBER(H108),H108&gt;1),"Resultado &gt;100% — indício de incompatibilidade numerador/denominador; ressalva de consistência, cálculo mantido. ","")&amp;IF(Sol_Alternativas!$L21="Sim","Esgoto urbano validado e computado.","Esgoto urbano não validado.")&amp;" "&amp;IF(Sol_Alternativas!$M21="Sim","Esgoto rural validado e computado.","Esgoto rural não validado.")</f>
        <v>Esgoto urbano não validado. Esgoto rural não validado.</v>
      </c>
    </row>
    <row r="109" spans="1:11" ht="15" customHeight="1" x14ac:dyDescent="0.35">
      <c r="A109" s="12" t="s">
        <v>126</v>
      </c>
      <c r="B109" s="12">
        <f>Base_SINISA_Esgoto!E22</f>
        <v>5752</v>
      </c>
      <c r="C109" s="13">
        <f>Base_SINISA_Esgoto!F22</f>
        <v>0</v>
      </c>
      <c r="D109" s="13">
        <f>Sol_Alternativas!P22</f>
        <v>0</v>
      </c>
      <c r="E109" s="13">
        <f>Sol_Alternativas!Q22</f>
        <v>0</v>
      </c>
      <c r="F109" s="13">
        <f t="shared" si="5"/>
        <v>5752</v>
      </c>
      <c r="G109" s="13">
        <f>Base_Denominadores!C22</f>
        <v>10481</v>
      </c>
      <c r="H109" s="21">
        <f>IF(OR(Base_SINISA_Esgoto!$C22="Ausente",G109="",G109=0),"n.c.",F109/G109)</f>
        <v>0.54880259517221641</v>
      </c>
      <c r="I109" s="13" t="str">
        <f>IF(Base_SINISA_Esgoto!$C22="Ausente","Insatisfatório – prestador ausente",IF(OR(G109="",G109=0),"Não calculado – denominador ausente",IF(OR(Base_SINISA_Esgoto!$R22="Inconsistente – residencial&gt;total",Base_SINISA_Esgoto!$S22="Inconsistente – residencial&gt;total"),"Calculado com ressalva grave – inconsistência residencial/total na fonte",IF(COUNTBLANK(Base_SINISA_Esgoto!E22:F22)&gt;0,"Calculado com ressalva – parcela ausente = zero","Calculado"))))</f>
        <v>Calculado</v>
      </c>
      <c r="J109" s="13" t="str">
        <f t="shared" si="6"/>
        <v>Sim</v>
      </c>
      <c r="K109" s="13" t="str">
        <f>IF(AND(ISNUMBER(H109),H109&gt;1),"Resultado &gt;100% — indício de incompatibilidade numerador/denominador; ressalva de consistência, cálculo mantido. ","")&amp;IF(Sol_Alternativas!$L22="Sim","Esgoto urbano validado e computado.","Esgoto urbano não validado.")&amp;" "&amp;IF(Sol_Alternativas!$M22="Sim","Esgoto rural validado e computado.","Esgoto rural não validado.")</f>
        <v>Esgoto urbano não validado. Esgoto rural não validado.</v>
      </c>
    </row>
    <row r="110" spans="1:11" ht="15" customHeight="1" x14ac:dyDescent="0.35">
      <c r="A110" s="12" t="s">
        <v>127</v>
      </c>
      <c r="B110" s="12">
        <f>Base_SINISA_Esgoto!E23</f>
        <v>0</v>
      </c>
      <c r="C110" s="13">
        <f>Base_SINISA_Esgoto!F23</f>
        <v>0</v>
      </c>
      <c r="D110" s="13">
        <f>Sol_Alternativas!P23</f>
        <v>0</v>
      </c>
      <c r="E110" s="13">
        <f>Sol_Alternativas!Q23</f>
        <v>0</v>
      </c>
      <c r="F110" s="13">
        <f t="shared" si="5"/>
        <v>0</v>
      </c>
      <c r="G110" s="13">
        <f>Base_Denominadores!C23</f>
        <v>22635</v>
      </c>
      <c r="H110" s="21">
        <f>IF(OR(Base_SINISA_Esgoto!$C23="Ausente",G110="",G110=0),"n.c.",F110/G110)</f>
        <v>0</v>
      </c>
      <c r="I110" s="13" t="str">
        <f>IF(Base_SINISA_Esgoto!$C23="Ausente","Insatisfatório – prestador ausente",IF(OR(G110="",G110=0),"Não calculado – denominador ausente",IF(OR(Base_SINISA_Esgoto!$R23="Inconsistente – residencial&gt;total",Base_SINISA_Esgoto!$S23="Inconsistente – residencial&gt;total"),"Calculado com ressalva grave – inconsistência residencial/total na fonte",IF(COUNTBLANK(Base_SINISA_Esgoto!E23:F23)&gt;0,"Calculado com ressalva – parcela ausente = zero","Calculado"))))</f>
        <v>Calculado</v>
      </c>
      <c r="J110" s="13" t="str">
        <f t="shared" si="6"/>
        <v>Sim</v>
      </c>
      <c r="K110" s="13" t="str">
        <f>IF(AND(ISNUMBER(H110),H110&gt;1),"Resultado &gt;100% — indício de incompatibilidade numerador/denominador; ressalva de consistência, cálculo mantido. ","")&amp;IF(Sol_Alternativas!$L23="Sim","Esgoto urbano validado e computado.","Esgoto urbano não validado.")&amp;" "&amp;IF(Sol_Alternativas!$M23="Sim","Esgoto rural validado e computado.","Esgoto rural não validado.")</f>
        <v>Esgoto urbano não validado. Esgoto rural não validado.</v>
      </c>
    </row>
    <row r="111" spans="1:11" ht="15" customHeight="1" x14ac:dyDescent="0.35">
      <c r="A111" s="12" t="s">
        <v>129</v>
      </c>
      <c r="B111" s="12">
        <f>Base_SINISA_Esgoto!E24</f>
        <v>23735</v>
      </c>
      <c r="C111" s="13">
        <f>Base_SINISA_Esgoto!F24</f>
        <v>0</v>
      </c>
      <c r="D111" s="13">
        <f>Sol_Alternativas!P24</f>
        <v>0</v>
      </c>
      <c r="E111" s="13">
        <f>Sol_Alternativas!Q24</f>
        <v>0</v>
      </c>
      <c r="F111" s="13">
        <f t="shared" si="5"/>
        <v>23735</v>
      </c>
      <c r="G111" s="13">
        <f>Base_Denominadores!C24</f>
        <v>40970</v>
      </c>
      <c r="H111" s="21">
        <f>IF(OR(Base_SINISA_Esgoto!$C24="Ausente",G111="",G111=0),"n.c.",F111/G111)</f>
        <v>0.57932633634366615</v>
      </c>
      <c r="I111" s="13" t="str">
        <f>IF(Base_SINISA_Esgoto!$C24="Ausente","Insatisfatório – prestador ausente",IF(OR(G111="",G111=0),"Não calculado – denominador ausente",IF(OR(Base_SINISA_Esgoto!$R24="Inconsistente – residencial&gt;total",Base_SINISA_Esgoto!$S24="Inconsistente – residencial&gt;total"),"Calculado com ressalva grave – inconsistência residencial/total na fonte",IF(COUNTBLANK(Base_SINISA_Esgoto!E24:F24)&gt;0,"Calculado com ressalva – parcela ausente = zero","Calculado"))))</f>
        <v>Calculado com ressalva grave – inconsistência residencial/total na fonte</v>
      </c>
      <c r="J111" s="13" t="str">
        <f t="shared" si="6"/>
        <v>Não</v>
      </c>
      <c r="K111" s="13" t="str">
        <f>IF(AND(ISNUMBER(H111),H111&gt;1),"Resultado &gt;100% — indício de incompatibilidade numerador/denominador; ressalva de consistência, cálculo mantido. ","")&amp;IF(Sol_Alternativas!$L24="Sim","Esgoto urbano validado e computado.","Esgoto urbano não validado.")&amp;" "&amp;IF(Sol_Alternativas!$M24="Sim","Esgoto rural validado e computado.","Esgoto rural não validado.")</f>
        <v>Esgoto urbano não validado. Esgoto rural não validado.</v>
      </c>
    </row>
    <row r="112" spans="1:11" ht="15" customHeight="1" x14ac:dyDescent="0.35">
      <c r="A112" s="12" t="s">
        <v>131</v>
      </c>
      <c r="B112" s="12">
        <f>Base_SINISA_Esgoto!E25</f>
        <v>0</v>
      </c>
      <c r="C112" s="13">
        <f>Base_SINISA_Esgoto!F25</f>
        <v>0</v>
      </c>
      <c r="D112" s="13">
        <f>Sol_Alternativas!P25</f>
        <v>0</v>
      </c>
      <c r="E112" s="13">
        <f>Sol_Alternativas!Q25</f>
        <v>0</v>
      </c>
      <c r="F112" s="13">
        <f t="shared" si="5"/>
        <v>0</v>
      </c>
      <c r="G112" s="13">
        <f>Base_Denominadores!C25</f>
        <v>1709</v>
      </c>
      <c r="H112" s="21">
        <f>IF(OR(Base_SINISA_Esgoto!$C25="Ausente",G112="",G112=0),"n.c.",F112/G112)</f>
        <v>0</v>
      </c>
      <c r="I112" s="13" t="str">
        <f>IF(Base_SINISA_Esgoto!$C25="Ausente","Insatisfatório – prestador ausente",IF(OR(G112="",G112=0),"Não calculado – denominador ausente",IF(OR(Base_SINISA_Esgoto!$R25="Inconsistente – residencial&gt;total",Base_SINISA_Esgoto!$S25="Inconsistente – residencial&gt;total"),"Calculado com ressalva grave – inconsistência residencial/total na fonte",IF(COUNTBLANK(Base_SINISA_Esgoto!E25:F25)&gt;0,"Calculado com ressalva – parcela ausente = zero","Calculado"))))</f>
        <v>Calculado com ressalva – parcela ausente = zero</v>
      </c>
      <c r="J112" s="13" t="str">
        <f t="shared" si="6"/>
        <v>Não</v>
      </c>
      <c r="K112" s="13" t="str">
        <f>IF(AND(ISNUMBER(H112),H112&gt;1),"Resultado &gt;100% — indício de incompatibilidade numerador/denominador; ressalva de consistência, cálculo mantido. ","")&amp;IF(Sol_Alternativas!$L25="Sim","Esgoto urbano validado e computado.","Esgoto urbano não validado.")&amp;" "&amp;IF(Sol_Alternativas!$M25="Sim","Esgoto rural validado e computado.","Esgoto rural não validado.")</f>
        <v>Esgoto urbano não validado. Esgoto rural não validado.</v>
      </c>
    </row>
    <row r="113" spans="1:11" ht="15" customHeight="1" x14ac:dyDescent="0.35">
      <c r="A113" s="12" t="s">
        <v>132</v>
      </c>
      <c r="B113" s="12">
        <f>Base_SINISA_Esgoto!E26</f>
        <v>0</v>
      </c>
      <c r="C113" s="13">
        <f>Base_SINISA_Esgoto!F26</f>
        <v>0</v>
      </c>
      <c r="D113" s="13">
        <f>Sol_Alternativas!P26</f>
        <v>0</v>
      </c>
      <c r="E113" s="13">
        <f>Sol_Alternativas!Q26</f>
        <v>0</v>
      </c>
      <c r="F113" s="13">
        <f t="shared" si="5"/>
        <v>0</v>
      </c>
      <c r="G113" s="13">
        <f>Base_Denominadores!C26</f>
        <v>2689</v>
      </c>
      <c r="H113" s="21">
        <f>IF(OR(Base_SINISA_Esgoto!$C26="Ausente",G113="",G113=0),"n.c.",F113/G113)</f>
        <v>0</v>
      </c>
      <c r="I113" s="13" t="str">
        <f>IF(Base_SINISA_Esgoto!$C26="Ausente","Insatisfatório – prestador ausente",IF(OR(G113="",G113=0),"Não calculado – denominador ausente",IF(OR(Base_SINISA_Esgoto!$R26="Inconsistente – residencial&gt;total",Base_SINISA_Esgoto!$S26="Inconsistente – residencial&gt;total"),"Calculado com ressalva grave – inconsistência residencial/total na fonte",IF(COUNTBLANK(Base_SINISA_Esgoto!E26:F26)&gt;0,"Calculado com ressalva – parcela ausente = zero","Calculado"))))</f>
        <v>Calculado com ressalva – parcela ausente = zero</v>
      </c>
      <c r="J113" s="13" t="str">
        <f t="shared" si="6"/>
        <v>Não</v>
      </c>
      <c r="K113" s="13" t="str">
        <f>IF(AND(ISNUMBER(H113),H113&gt;1),"Resultado &gt;100% — indício de incompatibilidade numerador/denominador; ressalva de consistência, cálculo mantido. ","")&amp;IF(Sol_Alternativas!$L26="Sim","Esgoto urbano validado e computado.","Esgoto urbano não validado.")&amp;" "&amp;IF(Sol_Alternativas!$M26="Sim","Esgoto rural validado e computado.","Esgoto rural não validado.")</f>
        <v>Esgoto urbano não validado. Esgoto rural não validado.</v>
      </c>
    </row>
    <row r="114" spans="1:11" ht="15" customHeight="1" x14ac:dyDescent="0.35">
      <c r="A114" s="12" t="s">
        <v>134</v>
      </c>
      <c r="B114" s="12">
        <f>Base_SINISA_Esgoto!E27</f>
        <v>1543</v>
      </c>
      <c r="C114" s="13">
        <f>Base_SINISA_Esgoto!F27</f>
        <v>0</v>
      </c>
      <c r="D114" s="13">
        <f>Sol_Alternativas!P27</f>
        <v>0</v>
      </c>
      <c r="E114" s="13">
        <f>Sol_Alternativas!Q27</f>
        <v>0</v>
      </c>
      <c r="F114" s="13">
        <f t="shared" si="5"/>
        <v>1543</v>
      </c>
      <c r="G114" s="13">
        <f>Base_Denominadores!C27</f>
        <v>3307</v>
      </c>
      <c r="H114" s="21">
        <f>IF(OR(Base_SINISA_Esgoto!$C27="Ausente",G114="",G114=0),"n.c.",F114/G114)</f>
        <v>0.46658602963410944</v>
      </c>
      <c r="I114" s="13" t="str">
        <f>IF(Base_SINISA_Esgoto!$C27="Ausente","Insatisfatório – prestador ausente",IF(OR(G114="",G114=0),"Não calculado – denominador ausente",IF(OR(Base_SINISA_Esgoto!$R27="Inconsistente – residencial&gt;total",Base_SINISA_Esgoto!$S27="Inconsistente – residencial&gt;total"),"Calculado com ressalva grave – inconsistência residencial/total na fonte",IF(COUNTBLANK(Base_SINISA_Esgoto!E27:F27)&gt;0,"Calculado com ressalva – parcela ausente = zero","Calculado"))))</f>
        <v>Calculado com ressalva – parcela ausente = zero</v>
      </c>
      <c r="J114" s="13" t="str">
        <f t="shared" si="6"/>
        <v>Não</v>
      </c>
      <c r="K114" s="13" t="str">
        <f>IF(AND(ISNUMBER(H114),H114&gt;1),"Resultado &gt;100% — indício de incompatibilidade numerador/denominador; ressalva de consistência, cálculo mantido. ","")&amp;IF(Sol_Alternativas!$L27="Sim","Esgoto urbano validado e computado.","Esgoto urbano não validado.")&amp;" "&amp;IF(Sol_Alternativas!$M27="Sim","Esgoto rural validado e computado.","Esgoto rural não validado.")</f>
        <v>Esgoto urbano não validado. Esgoto rural não validado.</v>
      </c>
    </row>
    <row r="115" spans="1:11" ht="15" customHeight="1" x14ac:dyDescent="0.35">
      <c r="A115" s="12" t="s">
        <v>135</v>
      </c>
      <c r="B115" s="12">
        <f>Base_SINISA_Esgoto!E28</f>
        <v>0</v>
      </c>
      <c r="C115" s="13">
        <f>Base_SINISA_Esgoto!F28</f>
        <v>0</v>
      </c>
      <c r="D115" s="13">
        <f>Sol_Alternativas!P28</f>
        <v>0</v>
      </c>
      <c r="E115" s="13">
        <f>Sol_Alternativas!Q28</f>
        <v>0</v>
      </c>
      <c r="F115" s="13">
        <f t="shared" si="5"/>
        <v>0</v>
      </c>
      <c r="G115" s="13">
        <f>Base_Denominadores!C28</f>
        <v>21900</v>
      </c>
      <c r="H115" s="21">
        <f>IF(OR(Base_SINISA_Esgoto!$C28="Ausente",G115="",G115=0),"n.c.",F115/G115)</f>
        <v>0</v>
      </c>
      <c r="I115" s="13" t="str">
        <f>IF(Base_SINISA_Esgoto!$C28="Ausente","Insatisfatório – prestador ausente",IF(OR(G115="",G115=0),"Não calculado – denominador ausente",IF(OR(Base_SINISA_Esgoto!$R28="Inconsistente – residencial&gt;total",Base_SINISA_Esgoto!$S28="Inconsistente – residencial&gt;total"),"Calculado com ressalva grave – inconsistência residencial/total na fonte",IF(COUNTBLANK(Base_SINISA_Esgoto!E28:F28)&gt;0,"Calculado com ressalva – parcela ausente = zero","Calculado"))))</f>
        <v>Calculado</v>
      </c>
      <c r="J115" s="13" t="str">
        <f t="shared" si="6"/>
        <v>Sim</v>
      </c>
      <c r="K115" s="13" t="str">
        <f>IF(AND(ISNUMBER(H115),H115&gt;1),"Resultado &gt;100% — indício de incompatibilidade numerador/denominador; ressalva de consistência, cálculo mantido. ","")&amp;IF(Sol_Alternativas!$L28="Sim","Esgoto urbano validado e computado.","Esgoto urbano não validado.")&amp;" "&amp;IF(Sol_Alternativas!$M28="Sim","Esgoto rural validado e computado.","Esgoto rural não validado.")</f>
        <v>Esgoto urbano não validado. Esgoto rural não validado.</v>
      </c>
    </row>
    <row r="116" spans="1:11" ht="15" customHeight="1" x14ac:dyDescent="0.35">
      <c r="A116" s="12" t="s">
        <v>137</v>
      </c>
      <c r="B116" s="12">
        <f>Base_SINISA_Esgoto!E29</f>
        <v>0</v>
      </c>
      <c r="C116" s="13">
        <f>Base_SINISA_Esgoto!F29</f>
        <v>0</v>
      </c>
      <c r="D116" s="13">
        <f>Sol_Alternativas!P29</f>
        <v>0</v>
      </c>
      <c r="E116" s="13">
        <f>Sol_Alternativas!Q29</f>
        <v>0</v>
      </c>
      <c r="F116" s="13">
        <f t="shared" si="5"/>
        <v>0</v>
      </c>
      <c r="G116" s="13">
        <f>Base_Denominadores!C29</f>
        <v>9080</v>
      </c>
      <c r="H116" s="21">
        <f>IF(OR(Base_SINISA_Esgoto!$C29="Ausente",G116="",G116=0),"n.c.",F116/G116)</f>
        <v>0</v>
      </c>
      <c r="I116" s="13" t="str">
        <f>IF(Base_SINISA_Esgoto!$C29="Ausente","Insatisfatório – prestador ausente",IF(OR(G116="",G116=0),"Não calculado – denominador ausente",IF(OR(Base_SINISA_Esgoto!$R29="Inconsistente – residencial&gt;total",Base_SINISA_Esgoto!$S29="Inconsistente – residencial&gt;total"),"Calculado com ressalva grave – inconsistência residencial/total na fonte",IF(COUNTBLANK(Base_SINISA_Esgoto!E29:F29)&gt;0,"Calculado com ressalva – parcela ausente = zero","Calculado"))))</f>
        <v>Calculado</v>
      </c>
      <c r="J116" s="13" t="str">
        <f t="shared" si="6"/>
        <v>Sim</v>
      </c>
      <c r="K116" s="13" t="str">
        <f>IF(AND(ISNUMBER(H116),H116&gt;1),"Resultado &gt;100% — indício de incompatibilidade numerador/denominador; ressalva de consistência, cálculo mantido. ","")&amp;IF(Sol_Alternativas!$L29="Sim","Esgoto urbano validado e computado.","Esgoto urbano não validado.")&amp;" "&amp;IF(Sol_Alternativas!$M29="Sim","Esgoto rural validado e computado.","Esgoto rural não validado.")</f>
        <v>Esgoto urbano não validado. Esgoto rural não validado.</v>
      </c>
    </row>
    <row r="117" spans="1:11" ht="15" customHeight="1" x14ac:dyDescent="0.35">
      <c r="A117" s="12" t="s">
        <v>138</v>
      </c>
      <c r="B117" s="12">
        <f>Base_SINISA_Esgoto!E30</f>
        <v>0</v>
      </c>
      <c r="C117" s="13">
        <f>Base_SINISA_Esgoto!F30</f>
        <v>0</v>
      </c>
      <c r="D117" s="13">
        <f>Sol_Alternativas!P30</f>
        <v>0</v>
      </c>
      <c r="E117" s="13">
        <f>Sol_Alternativas!Q30</f>
        <v>0</v>
      </c>
      <c r="F117" s="13">
        <f t="shared" si="5"/>
        <v>0</v>
      </c>
      <c r="G117" s="13">
        <f>Base_Denominadores!C30</f>
        <v>4006</v>
      </c>
      <c r="H117" s="21">
        <f>IF(OR(Base_SINISA_Esgoto!$C30="Ausente",G117="",G117=0),"n.c.",F117/G117)</f>
        <v>0</v>
      </c>
      <c r="I117" s="13" t="str">
        <f>IF(Base_SINISA_Esgoto!$C30="Ausente","Insatisfatório – prestador ausente",IF(OR(G117="",G117=0),"Não calculado – denominador ausente",IF(OR(Base_SINISA_Esgoto!$R30="Inconsistente – residencial&gt;total",Base_SINISA_Esgoto!$S30="Inconsistente – residencial&gt;total"),"Calculado com ressalva grave – inconsistência residencial/total na fonte",IF(COUNTBLANK(Base_SINISA_Esgoto!E30:F30)&gt;0,"Calculado com ressalva – parcela ausente = zero","Calculado"))))</f>
        <v>Calculado</v>
      </c>
      <c r="J117" s="13" t="str">
        <f t="shared" si="6"/>
        <v>Sim</v>
      </c>
      <c r="K117" s="13" t="str">
        <f>IF(AND(ISNUMBER(H117),H117&gt;1),"Resultado &gt;100% — indício de incompatibilidade numerador/denominador; ressalva de consistência, cálculo mantido. ","")&amp;IF(Sol_Alternativas!$L30="Sim","Esgoto urbano validado e computado.","Esgoto urbano não validado.")&amp;" "&amp;IF(Sol_Alternativas!$M30="Sim","Esgoto rural validado e computado.","Esgoto rural não validado.")</f>
        <v>Esgoto urbano não validado. Esgoto rural não validado.</v>
      </c>
    </row>
    <row r="118" spans="1:11" ht="15" customHeight="1" x14ac:dyDescent="0.35">
      <c r="A118" s="12" t="s">
        <v>139</v>
      </c>
      <c r="B118" s="12">
        <f>Base_SINISA_Esgoto!E31</f>
        <v>0</v>
      </c>
      <c r="C118" s="13">
        <f>Base_SINISA_Esgoto!F31</f>
        <v>0</v>
      </c>
      <c r="D118" s="13">
        <f>Sol_Alternativas!P31</f>
        <v>0</v>
      </c>
      <c r="E118" s="13">
        <f>Sol_Alternativas!Q31</f>
        <v>0</v>
      </c>
      <c r="F118" s="13">
        <f t="shared" si="5"/>
        <v>0</v>
      </c>
      <c r="G118" s="13">
        <f>Base_Denominadores!C31</f>
        <v>0</v>
      </c>
      <c r="H118" s="21" t="str">
        <f>IF(OR(Base_SINISA_Esgoto!$C31="Ausente",G118="",G118=0),"n.c.",F118/G118)</f>
        <v>n.c.</v>
      </c>
      <c r="I118" s="13" t="str">
        <f>IF(Base_SINISA_Esgoto!$C31="Ausente","Insatisfatório – prestador ausente",IF(OR(G118="",G118=0),"Não calculado – denominador ausente",IF(OR(Base_SINISA_Esgoto!$R31="Inconsistente – residencial&gt;total",Base_SINISA_Esgoto!$S31="Inconsistente – residencial&gt;total"),"Calculado com ressalva grave – inconsistência residencial/total na fonte",IF(COUNTBLANK(Base_SINISA_Esgoto!E31:F31)&gt;0,"Calculado com ressalva – parcela ausente = zero","Calculado"))))</f>
        <v>Não calculado – denominador ausente</v>
      </c>
      <c r="J118" s="13" t="str">
        <f t="shared" si="6"/>
        <v>Não</v>
      </c>
      <c r="K118" s="13" t="str">
        <f>IF(AND(ISNUMBER(H118),H118&gt;1),"Resultado &gt;100% — indício de incompatibilidade numerador/denominador; ressalva de consistência, cálculo mantido. ","")&amp;IF(Sol_Alternativas!$L31="Sim","Esgoto urbano validado e computado.","Esgoto urbano não validado.")&amp;" "&amp;IF(Sol_Alternativas!$M31="Sim","Esgoto rural validado e computado.","Esgoto rural não validado.")</f>
        <v>Esgoto urbano não validado. Esgoto rural não validado.</v>
      </c>
    </row>
    <row r="119" spans="1:11" ht="15" customHeight="1" x14ac:dyDescent="0.35">
      <c r="A119" s="12" t="s">
        <v>141</v>
      </c>
      <c r="B119" s="12">
        <f>Base_SINISA_Esgoto!E32</f>
        <v>0</v>
      </c>
      <c r="C119" s="13">
        <f>Base_SINISA_Esgoto!F32</f>
        <v>0</v>
      </c>
      <c r="D119" s="13">
        <f>Sol_Alternativas!P32</f>
        <v>0</v>
      </c>
      <c r="E119" s="13">
        <f>Sol_Alternativas!Q32</f>
        <v>0</v>
      </c>
      <c r="F119" s="13">
        <f t="shared" si="5"/>
        <v>0</v>
      </c>
      <c r="G119" s="13">
        <f>Base_Denominadores!C32</f>
        <v>2998</v>
      </c>
      <c r="H119" s="21">
        <f>IF(OR(Base_SINISA_Esgoto!$C32="Ausente",G119="",G119=0),"n.c.",F119/G119)</f>
        <v>0</v>
      </c>
      <c r="I119" s="13" t="str">
        <f>IF(Base_SINISA_Esgoto!$C32="Ausente","Insatisfatório – prestador ausente",IF(OR(G119="",G119=0),"Não calculado – denominador ausente",IF(OR(Base_SINISA_Esgoto!$R32="Inconsistente – residencial&gt;total",Base_SINISA_Esgoto!$S32="Inconsistente – residencial&gt;total"),"Calculado com ressalva grave – inconsistência residencial/total na fonte",IF(COUNTBLANK(Base_SINISA_Esgoto!E32:F32)&gt;0,"Calculado com ressalva – parcela ausente = zero","Calculado"))))</f>
        <v>Calculado</v>
      </c>
      <c r="J119" s="13" t="str">
        <f t="shared" si="6"/>
        <v>Sim</v>
      </c>
      <c r="K119" s="13" t="str">
        <f>IF(AND(ISNUMBER(H119),H119&gt;1),"Resultado &gt;100% — indício de incompatibilidade numerador/denominador; ressalva de consistência, cálculo mantido. ","")&amp;IF(Sol_Alternativas!$L32="Sim","Esgoto urbano validado e computado.","Esgoto urbano não validado.")&amp;" "&amp;IF(Sol_Alternativas!$M32="Sim","Esgoto rural validado e computado.","Esgoto rural não validado.")</f>
        <v>Esgoto urbano não validado. Esgoto rural não validado.</v>
      </c>
    </row>
    <row r="120" spans="1:11" ht="15" customHeight="1" x14ac:dyDescent="0.35">
      <c r="A120" s="12" t="s">
        <v>142</v>
      </c>
      <c r="B120" s="12">
        <f>Base_SINISA_Esgoto!E33</f>
        <v>0</v>
      </c>
      <c r="C120" s="13">
        <f>Base_SINISA_Esgoto!F33</f>
        <v>0</v>
      </c>
      <c r="D120" s="13">
        <f>Sol_Alternativas!P33</f>
        <v>0</v>
      </c>
      <c r="E120" s="13">
        <f>Sol_Alternativas!Q33</f>
        <v>0</v>
      </c>
      <c r="F120" s="13">
        <f t="shared" si="5"/>
        <v>0</v>
      </c>
      <c r="G120" s="13">
        <f>Base_Denominadores!C33</f>
        <v>1822</v>
      </c>
      <c r="H120" s="21">
        <f>IF(OR(Base_SINISA_Esgoto!$C33="Ausente",G120="",G120=0),"n.c.",F120/G120)</f>
        <v>0</v>
      </c>
      <c r="I120" s="13" t="str">
        <f>IF(Base_SINISA_Esgoto!$C33="Ausente","Insatisfatório – prestador ausente",IF(OR(G120="",G120=0),"Não calculado – denominador ausente",IF(OR(Base_SINISA_Esgoto!$R33="Inconsistente – residencial&gt;total",Base_SINISA_Esgoto!$S33="Inconsistente – residencial&gt;total"),"Calculado com ressalva grave – inconsistência residencial/total na fonte",IF(COUNTBLANK(Base_SINISA_Esgoto!E33:F33)&gt;0,"Calculado com ressalva – parcela ausente = zero","Calculado"))))</f>
        <v>Calculado com ressalva – parcela ausente = zero</v>
      </c>
      <c r="J120" s="13" t="str">
        <f t="shared" si="6"/>
        <v>Não</v>
      </c>
      <c r="K120" s="13" t="str">
        <f>IF(AND(ISNUMBER(H120),H120&gt;1),"Resultado &gt;100% — indício de incompatibilidade numerador/denominador; ressalva de consistência, cálculo mantido. ","")&amp;IF(Sol_Alternativas!$L33="Sim","Esgoto urbano validado e computado.","Esgoto urbano não validado.")&amp;" "&amp;IF(Sol_Alternativas!$M33="Sim","Esgoto rural validado e computado.","Esgoto rural não validado.")</f>
        <v>Esgoto urbano não validado. Esgoto rural não validado.</v>
      </c>
    </row>
    <row r="121" spans="1:11" ht="15" customHeight="1" x14ac:dyDescent="0.35">
      <c r="A121" s="12" t="s">
        <v>144</v>
      </c>
      <c r="B121" s="12">
        <f>Base_SINISA_Esgoto!E34</f>
        <v>0</v>
      </c>
      <c r="C121" s="13">
        <f>Base_SINISA_Esgoto!F34</f>
        <v>0</v>
      </c>
      <c r="D121" s="13">
        <f>Sol_Alternativas!P34</f>
        <v>0</v>
      </c>
      <c r="E121" s="13">
        <f>Sol_Alternativas!Q34</f>
        <v>0</v>
      </c>
      <c r="F121" s="13">
        <f t="shared" si="5"/>
        <v>0</v>
      </c>
      <c r="G121" s="13">
        <f>Base_Denominadores!C34</f>
        <v>0</v>
      </c>
      <c r="H121" s="21" t="str">
        <f>IF(OR(Base_SINISA_Esgoto!$C34="Ausente",G121="",G121=0),"n.c.",F121/G121)</f>
        <v>n.c.</v>
      </c>
      <c r="I121" s="13" t="str">
        <f>IF(Base_SINISA_Esgoto!$C34="Ausente","Insatisfatório – prestador ausente",IF(OR(G121="",G121=0),"Não calculado – denominador ausente",IF(OR(Base_SINISA_Esgoto!$R34="Inconsistente – residencial&gt;total",Base_SINISA_Esgoto!$S34="Inconsistente – residencial&gt;total"),"Calculado com ressalva grave – inconsistência residencial/total na fonte",IF(COUNTBLANK(Base_SINISA_Esgoto!E34:F34)&gt;0,"Calculado com ressalva – parcela ausente = zero","Calculado"))))</f>
        <v>Insatisfatório – prestador ausente</v>
      </c>
      <c r="J121" s="13" t="str">
        <f t="shared" si="6"/>
        <v>Não</v>
      </c>
      <c r="K121" s="13" t="str">
        <f>IF(AND(ISNUMBER(H121),H121&gt;1),"Resultado &gt;100% — indício de incompatibilidade numerador/denominador; ressalva de consistência, cálculo mantido. ","")&amp;IF(Sol_Alternativas!$L34="Sim","Esgoto urbano validado e computado.","Esgoto urbano não validado.")&amp;" "&amp;IF(Sol_Alternativas!$M34="Sim","Esgoto rural validado e computado.","Esgoto rural não validado.")</f>
        <v>Esgoto urbano não validado. Esgoto rural não validado.</v>
      </c>
    </row>
    <row r="122" spans="1:11" ht="15" customHeight="1" x14ac:dyDescent="0.35">
      <c r="A122" s="12" t="s">
        <v>146</v>
      </c>
      <c r="B122" s="12">
        <f>Base_SINISA_Esgoto!E35</f>
        <v>0</v>
      </c>
      <c r="C122" s="13">
        <f>Base_SINISA_Esgoto!F35</f>
        <v>0</v>
      </c>
      <c r="D122" s="13">
        <f>Sol_Alternativas!P35</f>
        <v>0</v>
      </c>
      <c r="E122" s="13">
        <f>Sol_Alternativas!Q35</f>
        <v>0</v>
      </c>
      <c r="F122" s="13">
        <f t="shared" si="5"/>
        <v>0</v>
      </c>
      <c r="G122" s="13">
        <f>Base_Denominadores!C35</f>
        <v>6301</v>
      </c>
      <c r="H122" s="21" t="str">
        <f>IF(OR(Base_SINISA_Esgoto!$C35="Ausente",G122="",G122=0),"n.c.",F122/G122)</f>
        <v>n.c.</v>
      </c>
      <c r="I122" s="13" t="str">
        <f>IF(Base_SINISA_Esgoto!$C35="Ausente","Insatisfatório – prestador ausente",IF(OR(G122="",G122=0),"Não calculado – denominador ausente",IF(OR(Base_SINISA_Esgoto!$R35="Inconsistente – residencial&gt;total",Base_SINISA_Esgoto!$S35="Inconsistente – residencial&gt;total"),"Calculado com ressalva grave – inconsistência residencial/total na fonte",IF(COUNTBLANK(Base_SINISA_Esgoto!E35:F35)&gt;0,"Calculado com ressalva – parcela ausente = zero","Calculado"))))</f>
        <v>Insatisfatório – prestador ausente</v>
      </c>
      <c r="J122" s="13" t="str">
        <f t="shared" si="6"/>
        <v>Não</v>
      </c>
      <c r="K122" s="13" t="str">
        <f>IF(AND(ISNUMBER(H122),H122&gt;1),"Resultado &gt;100% — indício de incompatibilidade numerador/denominador; ressalva de consistência, cálculo mantido. ","")&amp;IF(Sol_Alternativas!$L35="Sim","Esgoto urbano validado e computado.","Esgoto urbano não validado.")&amp;" "&amp;IF(Sol_Alternativas!$M35="Sim","Esgoto rural validado e computado.","Esgoto rural não validado.")</f>
        <v>Esgoto urbano não validado. Esgoto rural não validado.</v>
      </c>
    </row>
    <row r="123" spans="1:11" ht="15" customHeight="1" x14ac:dyDescent="0.35">
      <c r="A123" s="12" t="s">
        <v>148</v>
      </c>
      <c r="B123" s="12">
        <f>Base_SINISA_Esgoto!E36</f>
        <v>0</v>
      </c>
      <c r="C123" s="13">
        <f>Base_SINISA_Esgoto!F36</f>
        <v>0</v>
      </c>
      <c r="D123" s="13">
        <f>Sol_Alternativas!P36</f>
        <v>0</v>
      </c>
      <c r="E123" s="13">
        <f>Sol_Alternativas!Q36</f>
        <v>0</v>
      </c>
      <c r="F123" s="13">
        <f t="shared" si="5"/>
        <v>0</v>
      </c>
      <c r="G123" s="13">
        <f>Base_Denominadores!C36</f>
        <v>0</v>
      </c>
      <c r="H123" s="21" t="str">
        <f>IF(OR(Base_SINISA_Esgoto!$C36="Ausente",G123="",G123=0),"n.c.",F123/G123)</f>
        <v>n.c.</v>
      </c>
      <c r="I123" s="13" t="str">
        <f>IF(Base_SINISA_Esgoto!$C36="Ausente","Insatisfatório – prestador ausente",IF(OR(G123="",G123=0),"Não calculado – denominador ausente",IF(OR(Base_SINISA_Esgoto!$R36="Inconsistente – residencial&gt;total",Base_SINISA_Esgoto!$S36="Inconsistente – residencial&gt;total"),"Calculado com ressalva grave – inconsistência residencial/total na fonte",IF(COUNTBLANK(Base_SINISA_Esgoto!E36:F36)&gt;0,"Calculado com ressalva – parcela ausente = zero","Calculado"))))</f>
        <v>Não calculado – denominador ausente</v>
      </c>
      <c r="J123" s="13" t="str">
        <f t="shared" si="6"/>
        <v>Não</v>
      </c>
      <c r="K123" s="13" t="str">
        <f>IF(AND(ISNUMBER(H123),H123&gt;1),"Resultado &gt;100% — indício de incompatibilidade numerador/denominador; ressalva de consistência, cálculo mantido. ","")&amp;IF(Sol_Alternativas!$L36="Sim","Esgoto urbano validado e computado.","Esgoto urbano não validado.")&amp;" "&amp;IF(Sol_Alternativas!$M36="Sim","Esgoto rural validado e computado.","Esgoto rural não validado.")</f>
        <v>Esgoto urbano não validado. Esgoto rural não validado.</v>
      </c>
    </row>
    <row r="124" spans="1:11" ht="15" customHeight="1" x14ac:dyDescent="0.35">
      <c r="A124" s="12" t="s">
        <v>149</v>
      </c>
      <c r="B124" s="12">
        <f>Base_SINISA_Esgoto!E37</f>
        <v>793</v>
      </c>
      <c r="C124" s="13">
        <f>Base_SINISA_Esgoto!F37</f>
        <v>0</v>
      </c>
      <c r="D124" s="13">
        <f>Sol_Alternativas!P37</f>
        <v>0</v>
      </c>
      <c r="E124" s="13">
        <f>Sol_Alternativas!Q37</f>
        <v>0</v>
      </c>
      <c r="F124" s="13">
        <f t="shared" si="5"/>
        <v>793</v>
      </c>
      <c r="G124" s="13">
        <f>Base_Denominadores!C37</f>
        <v>1850</v>
      </c>
      <c r="H124" s="21">
        <f>IF(OR(Base_SINISA_Esgoto!$C37="Ausente",G124="",G124=0),"n.c.",F124/G124)</f>
        <v>0.42864864864864866</v>
      </c>
      <c r="I124" s="13" t="str">
        <f>IF(Base_SINISA_Esgoto!$C37="Ausente","Insatisfatório – prestador ausente",IF(OR(G124="",G124=0),"Não calculado – denominador ausente",IF(OR(Base_SINISA_Esgoto!$R37="Inconsistente – residencial&gt;total",Base_SINISA_Esgoto!$S37="Inconsistente – residencial&gt;total"),"Calculado com ressalva grave – inconsistência residencial/total na fonte",IF(COUNTBLANK(Base_SINISA_Esgoto!E37:F37)&gt;0,"Calculado com ressalva – parcela ausente = zero","Calculado"))))</f>
        <v>Calculado</v>
      </c>
      <c r="J124" s="13" t="str">
        <f t="shared" si="6"/>
        <v>Sim</v>
      </c>
      <c r="K124" s="13" t="str">
        <f>IF(AND(ISNUMBER(H124),H124&gt;1),"Resultado &gt;100% — indício de incompatibilidade numerador/denominador; ressalva de consistência, cálculo mantido. ","")&amp;IF(Sol_Alternativas!$L37="Sim","Esgoto urbano validado e computado.","Esgoto urbano não validado.")&amp;" "&amp;IF(Sol_Alternativas!$M37="Sim","Esgoto rural validado e computado.","Esgoto rural não validado.")</f>
        <v>Esgoto urbano não validado. Esgoto rural não validado.</v>
      </c>
    </row>
    <row r="125" spans="1:11" ht="15" customHeight="1" x14ac:dyDescent="0.35">
      <c r="A125" s="12" t="s">
        <v>150</v>
      </c>
      <c r="B125" s="12">
        <f>Base_SINISA_Esgoto!E38</f>
        <v>556</v>
      </c>
      <c r="C125" s="13">
        <f>Base_SINISA_Esgoto!F38</f>
        <v>11</v>
      </c>
      <c r="D125" s="13">
        <f>Sol_Alternativas!P38</f>
        <v>0</v>
      </c>
      <c r="E125" s="13">
        <f>Sol_Alternativas!Q38</f>
        <v>0</v>
      </c>
      <c r="F125" s="13">
        <f t="shared" si="5"/>
        <v>567</v>
      </c>
      <c r="G125" s="13">
        <f>Base_Denominadores!C38</f>
        <v>30122</v>
      </c>
      <c r="H125" s="21">
        <f>IF(OR(Base_SINISA_Esgoto!$C38="Ausente",G125="",G125=0),"n.c.",F125/G125)</f>
        <v>1.8823451298054579E-2</v>
      </c>
      <c r="I125" s="13" t="str">
        <f>IF(Base_SINISA_Esgoto!$C38="Ausente","Insatisfatório – prestador ausente",IF(OR(G125="",G125=0),"Não calculado – denominador ausente",IF(OR(Base_SINISA_Esgoto!$R38="Inconsistente – residencial&gt;total",Base_SINISA_Esgoto!$S38="Inconsistente – residencial&gt;total"),"Calculado com ressalva grave – inconsistência residencial/total na fonte",IF(COUNTBLANK(Base_SINISA_Esgoto!E38:F38)&gt;0,"Calculado com ressalva – parcela ausente = zero","Calculado"))))</f>
        <v>Calculado</v>
      </c>
      <c r="J125" s="13" t="str">
        <f t="shared" si="6"/>
        <v>Sim</v>
      </c>
      <c r="K125" s="13" t="str">
        <f>IF(AND(ISNUMBER(H125),H125&gt;1),"Resultado &gt;100% — indício de incompatibilidade numerador/denominador; ressalva de consistência, cálculo mantido. ","")&amp;IF(Sol_Alternativas!$L38="Sim","Esgoto urbano validado e computado.","Esgoto urbano não validado.")&amp;" "&amp;IF(Sol_Alternativas!$M38="Sim","Esgoto rural validado e computado.","Esgoto rural não validado.")</f>
        <v>Esgoto urbano não validado. Esgoto rural não validado.</v>
      </c>
    </row>
    <row r="126" spans="1:11" ht="15" customHeight="1" x14ac:dyDescent="0.35">
      <c r="A126" s="12" t="s">
        <v>151</v>
      </c>
      <c r="B126" s="12">
        <f>Base_SINISA_Esgoto!E39</f>
        <v>0</v>
      </c>
      <c r="C126" s="13">
        <f>Base_SINISA_Esgoto!F39</f>
        <v>0</v>
      </c>
      <c r="D126" s="13">
        <f>Sol_Alternativas!P39</f>
        <v>0</v>
      </c>
      <c r="E126" s="13">
        <f>Sol_Alternativas!Q39</f>
        <v>0</v>
      </c>
      <c r="F126" s="13">
        <f t="shared" si="5"/>
        <v>0</v>
      </c>
      <c r="G126" s="13">
        <f>Base_Denominadores!C39</f>
        <v>0</v>
      </c>
      <c r="H126" s="21" t="str">
        <f>IF(OR(Base_SINISA_Esgoto!$C39="Ausente",G126="",G126=0),"n.c.",F126/G126)</f>
        <v>n.c.</v>
      </c>
      <c r="I126" s="13" t="str">
        <f>IF(Base_SINISA_Esgoto!$C39="Ausente","Insatisfatório – prestador ausente",IF(OR(G126="",G126=0),"Não calculado – denominador ausente",IF(OR(Base_SINISA_Esgoto!$R39="Inconsistente – residencial&gt;total",Base_SINISA_Esgoto!$S39="Inconsistente – residencial&gt;total"),"Calculado com ressalva grave – inconsistência residencial/total na fonte",IF(COUNTBLANK(Base_SINISA_Esgoto!E39:F39)&gt;0,"Calculado com ressalva – parcela ausente = zero","Calculado"))))</f>
        <v>Não calculado – denominador ausente</v>
      </c>
      <c r="J126" s="13" t="str">
        <f t="shared" si="6"/>
        <v>Não</v>
      </c>
      <c r="K126" s="13" t="str">
        <f>IF(AND(ISNUMBER(H126),H126&gt;1),"Resultado &gt;100% — indício de incompatibilidade numerador/denominador; ressalva de consistência, cálculo mantido. ","")&amp;IF(Sol_Alternativas!$L39="Sim","Esgoto urbano validado e computado.","Esgoto urbano não validado.")&amp;" "&amp;IF(Sol_Alternativas!$M39="Sim","Esgoto rural validado e computado.","Esgoto rural não validado.")</f>
        <v>Esgoto urbano não validado. Esgoto rural não validado.</v>
      </c>
    </row>
    <row r="127" spans="1:11" ht="15" customHeight="1" x14ac:dyDescent="0.35">
      <c r="A127" s="12" t="s">
        <v>153</v>
      </c>
      <c r="B127" s="12">
        <f>Base_SINISA_Esgoto!E40</f>
        <v>2000</v>
      </c>
      <c r="C127" s="13">
        <f>Base_SINISA_Esgoto!F40</f>
        <v>0</v>
      </c>
      <c r="D127" s="13">
        <f>Sol_Alternativas!P40</f>
        <v>0</v>
      </c>
      <c r="E127" s="13">
        <f>Sol_Alternativas!Q40</f>
        <v>0</v>
      </c>
      <c r="F127" s="13">
        <f t="shared" si="5"/>
        <v>2000</v>
      </c>
      <c r="G127" s="13">
        <f>Base_Denominadores!C40</f>
        <v>0</v>
      </c>
      <c r="H127" s="21" t="str">
        <f>IF(OR(Base_SINISA_Esgoto!$C40="Ausente",G127="",G127=0),"n.c.",F127/G127)</f>
        <v>n.c.</v>
      </c>
      <c r="I127" s="13" t="str">
        <f>IF(Base_SINISA_Esgoto!$C40="Ausente","Insatisfatório – prestador ausente",IF(OR(G127="",G127=0),"Não calculado – denominador ausente",IF(OR(Base_SINISA_Esgoto!$R40="Inconsistente – residencial&gt;total",Base_SINISA_Esgoto!$S40="Inconsistente – residencial&gt;total"),"Calculado com ressalva grave – inconsistência residencial/total na fonte",IF(COUNTBLANK(Base_SINISA_Esgoto!E40:F40)&gt;0,"Calculado com ressalva – parcela ausente = zero","Calculado"))))</f>
        <v>Não calculado – denominador ausente</v>
      </c>
      <c r="J127" s="13" t="str">
        <f t="shared" si="6"/>
        <v>Não</v>
      </c>
      <c r="K127" s="13" t="str">
        <f>IF(AND(ISNUMBER(H127),H127&gt;1),"Resultado &gt;100% — indício de incompatibilidade numerador/denominador; ressalva de consistência, cálculo mantido. ","")&amp;IF(Sol_Alternativas!$L40="Sim","Esgoto urbano validado e computado.","Esgoto urbano não validado.")&amp;" "&amp;IF(Sol_Alternativas!$M40="Sim","Esgoto rural validado e computado.","Esgoto rural não validado.")</f>
        <v>Esgoto urbano não validado. Esgoto rural não validado.</v>
      </c>
    </row>
    <row r="128" spans="1:11" ht="15" customHeight="1" x14ac:dyDescent="0.35">
      <c r="A128" s="12" t="s">
        <v>155</v>
      </c>
      <c r="B128" s="12">
        <f>Base_SINISA_Esgoto!E41</f>
        <v>0</v>
      </c>
      <c r="C128" s="13">
        <f>Base_SINISA_Esgoto!F41</f>
        <v>0</v>
      </c>
      <c r="D128" s="13">
        <f>Sol_Alternativas!P41</f>
        <v>0</v>
      </c>
      <c r="E128" s="13">
        <f>Sol_Alternativas!Q41</f>
        <v>0</v>
      </c>
      <c r="F128" s="13">
        <f t="shared" si="5"/>
        <v>0</v>
      </c>
      <c r="G128" s="13">
        <f>Base_Denominadores!C41</f>
        <v>0</v>
      </c>
      <c r="H128" s="21" t="str">
        <f>IF(OR(Base_SINISA_Esgoto!$C41="Ausente",G128="",G128=0),"n.c.",F128/G128)</f>
        <v>n.c.</v>
      </c>
      <c r="I128" s="13" t="str">
        <f>IF(Base_SINISA_Esgoto!$C41="Ausente","Insatisfatório – prestador ausente",IF(OR(G128="",G128=0),"Não calculado – denominador ausente",IF(OR(Base_SINISA_Esgoto!$R41="Inconsistente – residencial&gt;total",Base_SINISA_Esgoto!$S41="Inconsistente – residencial&gt;total"),"Calculado com ressalva grave – inconsistência residencial/total na fonte",IF(COUNTBLANK(Base_SINISA_Esgoto!E41:F41)&gt;0,"Calculado com ressalva – parcela ausente = zero","Calculado"))))</f>
        <v>Não calculado – denominador ausente</v>
      </c>
      <c r="J128" s="13" t="str">
        <f t="shared" si="6"/>
        <v>Não</v>
      </c>
      <c r="K128" s="13" t="str">
        <f>IF(AND(ISNUMBER(H128),H128&gt;1),"Resultado &gt;100% — indício de incompatibilidade numerador/denominador; ressalva de consistência, cálculo mantido. ","")&amp;IF(Sol_Alternativas!$L41="Sim","Esgoto urbano validado e computado.","Esgoto urbano não validado.")&amp;" "&amp;IF(Sol_Alternativas!$M41="Sim","Esgoto rural validado e computado.","Esgoto rural não validado.")</f>
        <v>Esgoto urbano não validado. Esgoto rural não validado.</v>
      </c>
    </row>
    <row r="129" spans="1:11" ht="15" customHeight="1" x14ac:dyDescent="0.35">
      <c r="A129" s="12" t="s">
        <v>157</v>
      </c>
      <c r="B129" s="12">
        <f>Base_SINISA_Esgoto!E42</f>
        <v>0</v>
      </c>
      <c r="C129" s="13">
        <f>Base_SINISA_Esgoto!F42</f>
        <v>0</v>
      </c>
      <c r="D129" s="13">
        <f>Sol_Alternativas!P42</f>
        <v>0</v>
      </c>
      <c r="E129" s="13">
        <f>Sol_Alternativas!Q42</f>
        <v>0</v>
      </c>
      <c r="F129" s="13">
        <f t="shared" si="5"/>
        <v>0</v>
      </c>
      <c r="G129" s="13">
        <f>Base_Denominadores!C42</f>
        <v>0</v>
      </c>
      <c r="H129" s="21" t="str">
        <f>IF(OR(Base_SINISA_Esgoto!$C42="Ausente",G129="",G129=0),"n.c.",F129/G129)</f>
        <v>n.c.</v>
      </c>
      <c r="I129" s="13" t="str">
        <f>IF(Base_SINISA_Esgoto!$C42="Ausente","Insatisfatório – prestador ausente",IF(OR(G129="",G129=0),"Não calculado – denominador ausente",IF(OR(Base_SINISA_Esgoto!$R42="Inconsistente – residencial&gt;total",Base_SINISA_Esgoto!$S42="Inconsistente – residencial&gt;total"),"Calculado com ressalva grave – inconsistência residencial/total na fonte",IF(COUNTBLANK(Base_SINISA_Esgoto!E42:F42)&gt;0,"Calculado com ressalva – parcela ausente = zero","Calculado"))))</f>
        <v>Não calculado – denominador ausente</v>
      </c>
      <c r="J129" s="13" t="str">
        <f t="shared" si="6"/>
        <v>Não</v>
      </c>
      <c r="K129" s="13" t="str">
        <f>IF(AND(ISNUMBER(H129),H129&gt;1),"Resultado &gt;100% — indício de incompatibilidade numerador/denominador; ressalva de consistência, cálculo mantido. ","")&amp;IF(Sol_Alternativas!$L42="Sim","Esgoto urbano validado e computado.","Esgoto urbano não validado.")&amp;" "&amp;IF(Sol_Alternativas!$M42="Sim","Esgoto rural validado e computado.","Esgoto rural não validado.")</f>
        <v>Esgoto urbano não validado. Esgoto rural não validado.</v>
      </c>
    </row>
    <row r="131" spans="1:11" ht="33.75" customHeight="1" x14ac:dyDescent="0.35">
      <c r="A131" s="2" t="s">
        <v>245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ht="45.75" customHeight="1" x14ac:dyDescent="0.35">
      <c r="A132" s="20" t="s">
        <v>64</v>
      </c>
      <c r="B132" s="20" t="s">
        <v>246</v>
      </c>
      <c r="C132" s="20" t="s">
        <v>247</v>
      </c>
      <c r="D132" s="20" t="s">
        <v>248</v>
      </c>
      <c r="E132" s="20" t="s">
        <v>249</v>
      </c>
      <c r="F132" s="20" t="s">
        <v>226</v>
      </c>
      <c r="G132" s="20" t="s">
        <v>237</v>
      </c>
      <c r="H132" s="20" t="s">
        <v>250</v>
      </c>
      <c r="I132" s="20" t="s">
        <v>229</v>
      </c>
      <c r="J132" s="20" t="s">
        <v>230</v>
      </c>
      <c r="K132" s="20" t="s">
        <v>231</v>
      </c>
    </row>
    <row r="133" spans="1:11" ht="15" customHeight="1" x14ac:dyDescent="0.35">
      <c r="A133" s="12" t="s">
        <v>94</v>
      </c>
      <c r="B133" s="12">
        <f>Base_SINISA_Esgoto!G3+Base_SINISA_Esgoto!H3</f>
        <v>0</v>
      </c>
      <c r="C133" s="13">
        <f>Base_SINISA_Esgoto!I3</f>
        <v>0</v>
      </c>
      <c r="D133" s="13">
        <f>Base_SINISA_Esgoto!J3</f>
        <v>0</v>
      </c>
      <c r="E133" s="13">
        <f>Sol_Alternativas!P3+Sol_Alternativas!Q3</f>
        <v>0</v>
      </c>
      <c r="F133" s="13">
        <f t="shared" ref="F133:F172" si="7">SUM(B133:E133)</f>
        <v>0</v>
      </c>
      <c r="G133" s="13">
        <f>Base_Denominadores!F3</f>
        <v>0</v>
      </c>
      <c r="H133" s="21" t="str">
        <f>IF(Base_SINISA_Esgoto!$C3="Ausente","n.c.",IF(OR(G133="",G133=0),"n.c.",IF(Base_Denominadores!$J3&lt;&gt;"OK","n.c.",F133/G133)))</f>
        <v>n.c.</v>
      </c>
      <c r="I133" s="13" t="str">
        <f>IF(Base_SINISA_Esgoto!$C3="Ausente","Insatisfatório – prestador ausente",IF(OR(G133="",G133=0),"Não calculado – denominador ausente",IF(Base_Denominadores!$J3&lt;&gt;"OK","Não avaliável – denominador incoerente (ver auditoria)",IF(OR(Base_SINISA_Esgoto!$R3="Inconsistente – residencial&gt;total",Base_SINISA_Esgoto!$S3="Inconsistente – residencial&gt;total"),"Calculado com ressalva grave – inconsistência residencial/total na fonte",IF(COUNTBLANK(Base_SINISA_Esgoto!G3:J3)&gt;0,"Calculado com ressalva – parcela ausente = zero","Calculado")))))</f>
        <v>Não calculado – denominador ausente</v>
      </c>
      <c r="J133" s="13" t="str">
        <f t="shared" ref="J133:J172" si="8">IF(I133="Calculado","Sim","Não")</f>
        <v>Não</v>
      </c>
      <c r="K133" s="13" t="str">
        <f t="shared" ref="K133:K172" si="9">IF(AND(ISNUMBER(H133),H133&gt;1),"Resultado &gt;100% — indício de incompatibilidade numerador/denominador; ressalva de consistência, cálculo mantido. ","")&amp;"Sol. alternativa p/ não residenciais: sem campo no SINISA, computado como zero."</f>
        <v>Sol. alternativa p/ não residenciais: sem campo no SINISA, computado como zero.</v>
      </c>
    </row>
    <row r="134" spans="1:11" ht="15" customHeight="1" x14ac:dyDescent="0.35">
      <c r="A134" s="12" t="s">
        <v>97</v>
      </c>
      <c r="B134" s="12">
        <f>Base_SINISA_Esgoto!G4+Base_SINISA_Esgoto!H4</f>
        <v>0</v>
      </c>
      <c r="C134" s="13">
        <f>Base_SINISA_Esgoto!I4</f>
        <v>0</v>
      </c>
      <c r="D134" s="13">
        <f>Base_SINISA_Esgoto!J4</f>
        <v>0</v>
      </c>
      <c r="E134" s="13">
        <f>Sol_Alternativas!P4+Sol_Alternativas!Q4</f>
        <v>0</v>
      </c>
      <c r="F134" s="13">
        <f t="shared" si="7"/>
        <v>0</v>
      </c>
      <c r="G134" s="13">
        <f>Base_Denominadores!F4</f>
        <v>2035</v>
      </c>
      <c r="H134" s="21">
        <f>IF(Base_SINISA_Esgoto!$C4="Ausente","n.c.",IF(OR(G134="",G134=0),"n.c.",IF(Base_Denominadores!$J4&lt;&gt;"OK","n.c.",F134/G134)))</f>
        <v>0</v>
      </c>
      <c r="I134" s="13" t="str">
        <f>IF(Base_SINISA_Esgoto!$C4="Ausente","Insatisfatório – prestador ausente",IF(OR(G134="",G134=0),"Não calculado – denominador ausente",IF(Base_Denominadores!$J4&lt;&gt;"OK","Não avaliável – denominador incoerente (ver auditoria)",IF(OR(Base_SINISA_Esgoto!$R4="Inconsistente – residencial&gt;total",Base_SINISA_Esgoto!$S4="Inconsistente – residencial&gt;total"),"Calculado com ressalva grave – inconsistência residencial/total na fonte",IF(COUNTBLANK(Base_SINISA_Esgoto!G4:J4)&gt;0,"Calculado com ressalva – parcela ausente = zero","Calculado")))))</f>
        <v>Calculado</v>
      </c>
      <c r="J134" s="13" t="str">
        <f t="shared" si="8"/>
        <v>Sim</v>
      </c>
      <c r="K134" s="13" t="str">
        <f t="shared" si="9"/>
        <v>Sol. alternativa p/ não residenciais: sem campo no SINISA, computado como zero.</v>
      </c>
    </row>
    <row r="135" spans="1:11" ht="15" customHeight="1" x14ac:dyDescent="0.35">
      <c r="A135" s="12" t="s">
        <v>99</v>
      </c>
      <c r="B135" s="12">
        <f>Base_SINISA_Esgoto!G5+Base_SINISA_Esgoto!H5</f>
        <v>6591</v>
      </c>
      <c r="C135" s="13">
        <f>Base_SINISA_Esgoto!I5</f>
        <v>0</v>
      </c>
      <c r="D135" s="13">
        <f>Base_SINISA_Esgoto!J5</f>
        <v>0</v>
      </c>
      <c r="E135" s="13">
        <f>Sol_Alternativas!P5+Sol_Alternativas!Q5</f>
        <v>0</v>
      </c>
      <c r="F135" s="13">
        <f t="shared" si="7"/>
        <v>6591</v>
      </c>
      <c r="G135" s="13">
        <f>Base_Denominadores!F5</f>
        <v>12587</v>
      </c>
      <c r="H135" s="21">
        <f>IF(Base_SINISA_Esgoto!$C5="Ausente","n.c.",IF(OR(G135="",G135=0),"n.c.",IF(Base_Denominadores!$J5&lt;&gt;"OK","n.c.",F135/G135)))</f>
        <v>0.52363549694128864</v>
      </c>
      <c r="I135" s="13" t="str">
        <f>IF(Base_SINISA_Esgoto!$C5="Ausente","Insatisfatório – prestador ausente",IF(OR(G135="",G135=0),"Não calculado – denominador ausente",IF(Base_Denominadores!$J5&lt;&gt;"OK","Não avaliável – denominador incoerente (ver auditoria)",IF(OR(Base_SINISA_Esgoto!$R5="Inconsistente – residencial&gt;total",Base_SINISA_Esgoto!$S5="Inconsistente – residencial&gt;total"),"Calculado com ressalva grave – inconsistência residencial/total na fonte",IF(COUNTBLANK(Base_SINISA_Esgoto!G5:J5)&gt;0,"Calculado com ressalva – parcela ausente = zero","Calculado")))))</f>
        <v>Calculado com ressalva – parcela ausente = zero</v>
      </c>
      <c r="J135" s="13" t="str">
        <f t="shared" si="8"/>
        <v>Não</v>
      </c>
      <c r="K135" s="13" t="str">
        <f t="shared" si="9"/>
        <v>Sol. alternativa p/ não residenciais: sem campo no SINISA, computado como zero.</v>
      </c>
    </row>
    <row r="136" spans="1:11" ht="15" customHeight="1" x14ac:dyDescent="0.35">
      <c r="A136" s="12" t="s">
        <v>100</v>
      </c>
      <c r="B136" s="12">
        <f>Base_SINISA_Esgoto!G6+Base_SINISA_Esgoto!H6</f>
        <v>0</v>
      </c>
      <c r="C136" s="13">
        <f>Base_SINISA_Esgoto!I6</f>
        <v>0</v>
      </c>
      <c r="D136" s="13">
        <f>Base_SINISA_Esgoto!J6</f>
        <v>0</v>
      </c>
      <c r="E136" s="13">
        <f>Sol_Alternativas!P6+Sol_Alternativas!Q6</f>
        <v>0</v>
      </c>
      <c r="F136" s="13">
        <f t="shared" si="7"/>
        <v>0</v>
      </c>
      <c r="G136" s="13">
        <f>Base_Denominadores!F6</f>
        <v>0</v>
      </c>
      <c r="H136" s="21" t="str">
        <f>IF(Base_SINISA_Esgoto!$C6="Ausente","n.c.",IF(OR(G136="",G136=0),"n.c.",IF(Base_Denominadores!$J6&lt;&gt;"OK","n.c.",F136/G136)))</f>
        <v>n.c.</v>
      </c>
      <c r="I136" s="13" t="str">
        <f>IF(Base_SINISA_Esgoto!$C6="Ausente","Insatisfatório – prestador ausente",IF(OR(G136="",G136=0),"Não calculado – denominador ausente",IF(Base_Denominadores!$J6&lt;&gt;"OK","Não avaliável – denominador incoerente (ver auditoria)",IF(OR(Base_SINISA_Esgoto!$R6="Inconsistente – residencial&gt;total",Base_SINISA_Esgoto!$S6="Inconsistente – residencial&gt;total"),"Calculado com ressalva grave – inconsistência residencial/total na fonte",IF(COUNTBLANK(Base_SINISA_Esgoto!G6:J6)&gt;0,"Calculado com ressalva – parcela ausente = zero","Calculado")))))</f>
        <v>Insatisfatório – prestador ausente</v>
      </c>
      <c r="J136" s="13" t="str">
        <f t="shared" si="8"/>
        <v>Não</v>
      </c>
      <c r="K136" s="13" t="str">
        <f t="shared" si="9"/>
        <v>Sol. alternativa p/ não residenciais: sem campo no SINISA, computado como zero.</v>
      </c>
    </row>
    <row r="137" spans="1:11" ht="15" customHeight="1" x14ac:dyDescent="0.35">
      <c r="A137" s="12" t="s">
        <v>102</v>
      </c>
      <c r="B137" s="12">
        <f>Base_SINISA_Esgoto!G7+Base_SINISA_Esgoto!H7</f>
        <v>0</v>
      </c>
      <c r="C137" s="13">
        <f>Base_SINISA_Esgoto!I7</f>
        <v>0</v>
      </c>
      <c r="D137" s="13">
        <f>Base_SINISA_Esgoto!J7</f>
        <v>0</v>
      </c>
      <c r="E137" s="13">
        <f>Sol_Alternativas!P7+Sol_Alternativas!Q7</f>
        <v>0</v>
      </c>
      <c r="F137" s="13">
        <f t="shared" si="7"/>
        <v>0</v>
      </c>
      <c r="G137" s="13">
        <f>Base_Denominadores!F7</f>
        <v>0</v>
      </c>
      <c r="H137" s="21" t="str">
        <f>IF(Base_SINISA_Esgoto!$C7="Ausente","n.c.",IF(OR(G137="",G137=0),"n.c.",IF(Base_Denominadores!$J7&lt;&gt;"OK","n.c.",F137/G137)))</f>
        <v>n.c.</v>
      </c>
      <c r="I137" s="13" t="str">
        <f>IF(Base_SINISA_Esgoto!$C7="Ausente","Insatisfatório – prestador ausente",IF(OR(G137="",G137=0),"Não calculado – denominador ausente",IF(Base_Denominadores!$J7&lt;&gt;"OK","Não avaliável – denominador incoerente (ver auditoria)",IF(OR(Base_SINISA_Esgoto!$R7="Inconsistente – residencial&gt;total",Base_SINISA_Esgoto!$S7="Inconsistente – residencial&gt;total"),"Calculado com ressalva grave – inconsistência residencial/total na fonte",IF(COUNTBLANK(Base_SINISA_Esgoto!G7:J7)&gt;0,"Calculado com ressalva – parcela ausente = zero","Calculado")))))</f>
        <v>Não calculado – denominador ausente</v>
      </c>
      <c r="J137" s="13" t="str">
        <f t="shared" si="8"/>
        <v>Não</v>
      </c>
      <c r="K137" s="13" t="str">
        <f t="shared" si="9"/>
        <v>Sol. alternativa p/ não residenciais: sem campo no SINISA, computado como zero.</v>
      </c>
    </row>
    <row r="138" spans="1:11" ht="15" customHeight="1" x14ac:dyDescent="0.35">
      <c r="A138" s="12" t="s">
        <v>104</v>
      </c>
      <c r="B138" s="12">
        <f>Base_SINISA_Esgoto!G8+Base_SINISA_Esgoto!H8</f>
        <v>0</v>
      </c>
      <c r="C138" s="13">
        <f>Base_SINISA_Esgoto!I8</f>
        <v>1039</v>
      </c>
      <c r="D138" s="13">
        <f>Base_SINISA_Esgoto!J8</f>
        <v>0</v>
      </c>
      <c r="E138" s="13">
        <f>Sol_Alternativas!P8+Sol_Alternativas!Q8</f>
        <v>0</v>
      </c>
      <c r="F138" s="13">
        <f t="shared" si="7"/>
        <v>1039</v>
      </c>
      <c r="G138" s="13">
        <f>Base_Denominadores!F8</f>
        <v>10517</v>
      </c>
      <c r="H138" s="21" t="str">
        <f>IF(Base_SINISA_Esgoto!$C8="Ausente","n.c.",IF(OR(G138="",G138=0),"n.c.",IF(Base_Denominadores!$J8&lt;&gt;"OK","n.c.",F138/G138)))</f>
        <v>n.c.</v>
      </c>
      <c r="I138" s="13" t="str">
        <f>IF(Base_SINISA_Esgoto!$C8="Ausente","Insatisfatório – prestador ausente",IF(OR(G138="",G138=0),"Não calculado – denominador ausente",IF(Base_Denominadores!$J8&lt;&gt;"OK","Não avaliável – denominador incoerente (ver auditoria)",IF(OR(Base_SINISA_Esgoto!$R8="Inconsistente – residencial&gt;total",Base_SINISA_Esgoto!$S8="Inconsistente – residencial&gt;total"),"Calculado com ressalva grave – inconsistência residencial/total na fonte",IF(COUNTBLANK(Base_SINISA_Esgoto!G8:J8)&gt;0,"Calculado com ressalva – parcela ausente = zero","Calculado")))))</f>
        <v>Não avaliável – denominador incoerente (ver auditoria)</v>
      </c>
      <c r="J138" s="13" t="str">
        <f t="shared" si="8"/>
        <v>Não</v>
      </c>
      <c r="K138" s="13" t="str">
        <f t="shared" si="9"/>
        <v>Sol. alternativa p/ não residenciais: sem campo no SINISA, computado como zero.</v>
      </c>
    </row>
    <row r="139" spans="1:11" ht="15" customHeight="1" x14ac:dyDescent="0.35">
      <c r="A139" s="12" t="s">
        <v>106</v>
      </c>
      <c r="B139" s="12">
        <f>Base_SINISA_Esgoto!G9+Base_SINISA_Esgoto!H9</f>
        <v>0</v>
      </c>
      <c r="C139" s="13">
        <f>Base_SINISA_Esgoto!I9</f>
        <v>0</v>
      </c>
      <c r="D139" s="13">
        <f>Base_SINISA_Esgoto!J9</f>
        <v>0</v>
      </c>
      <c r="E139" s="13">
        <f>Sol_Alternativas!P9+Sol_Alternativas!Q9</f>
        <v>0</v>
      </c>
      <c r="F139" s="13">
        <f t="shared" si="7"/>
        <v>0</v>
      </c>
      <c r="G139" s="13">
        <f>Base_Denominadores!F9</f>
        <v>0</v>
      </c>
      <c r="H139" s="21" t="str">
        <f>IF(Base_SINISA_Esgoto!$C9="Ausente","n.c.",IF(OR(G139="",G139=0),"n.c.",IF(Base_Denominadores!$J9&lt;&gt;"OK","n.c.",F139/G139)))</f>
        <v>n.c.</v>
      </c>
      <c r="I139" s="13" t="str">
        <f>IF(Base_SINISA_Esgoto!$C9="Ausente","Insatisfatório – prestador ausente",IF(OR(G139="",G139=0),"Não calculado – denominador ausente",IF(Base_Denominadores!$J9&lt;&gt;"OK","Não avaliável – denominador incoerente (ver auditoria)",IF(OR(Base_SINISA_Esgoto!$R9="Inconsistente – residencial&gt;total",Base_SINISA_Esgoto!$S9="Inconsistente – residencial&gt;total"),"Calculado com ressalva grave – inconsistência residencial/total na fonte",IF(COUNTBLANK(Base_SINISA_Esgoto!G9:J9)&gt;0,"Calculado com ressalva – parcela ausente = zero","Calculado")))))</f>
        <v>Insatisfatório – prestador ausente</v>
      </c>
      <c r="J139" s="13" t="str">
        <f t="shared" si="8"/>
        <v>Não</v>
      </c>
      <c r="K139" s="13" t="str">
        <f t="shared" si="9"/>
        <v>Sol. alternativa p/ não residenciais: sem campo no SINISA, computado como zero.</v>
      </c>
    </row>
    <row r="140" spans="1:11" ht="15" customHeight="1" x14ac:dyDescent="0.35">
      <c r="A140" s="12" t="s">
        <v>108</v>
      </c>
      <c r="B140" s="12">
        <f>Base_SINISA_Esgoto!G10+Base_SINISA_Esgoto!H10</f>
        <v>0</v>
      </c>
      <c r="C140" s="13">
        <f>Base_SINISA_Esgoto!I10</f>
        <v>0</v>
      </c>
      <c r="D140" s="13">
        <f>Base_SINISA_Esgoto!J10</f>
        <v>0</v>
      </c>
      <c r="E140" s="13">
        <f>Sol_Alternativas!P10+Sol_Alternativas!Q10</f>
        <v>0</v>
      </c>
      <c r="F140" s="13">
        <f t="shared" si="7"/>
        <v>0</v>
      </c>
      <c r="G140" s="13">
        <f>Base_Denominadores!F10</f>
        <v>7595</v>
      </c>
      <c r="H140" s="21" t="str">
        <f>IF(Base_SINISA_Esgoto!$C10="Ausente","n.c.",IF(OR(G140="",G140=0),"n.c.",IF(Base_Denominadores!$J10&lt;&gt;"OK","n.c.",F140/G140)))</f>
        <v>n.c.</v>
      </c>
      <c r="I140" s="13" t="str">
        <f>IF(Base_SINISA_Esgoto!$C10="Ausente","Insatisfatório – prestador ausente",IF(OR(G140="",G140=0),"Não calculado – denominador ausente",IF(Base_Denominadores!$J10&lt;&gt;"OK","Não avaliável – denominador incoerente (ver auditoria)",IF(OR(Base_SINISA_Esgoto!$R10="Inconsistente – residencial&gt;total",Base_SINISA_Esgoto!$S10="Inconsistente – residencial&gt;total"),"Calculado com ressalva grave – inconsistência residencial/total na fonte",IF(COUNTBLANK(Base_SINISA_Esgoto!G10:J10)&gt;0,"Calculado com ressalva – parcela ausente = zero","Calculado")))))</f>
        <v>Não avaliável – denominador incoerente (ver auditoria)</v>
      </c>
      <c r="J140" s="13" t="str">
        <f t="shared" si="8"/>
        <v>Não</v>
      </c>
      <c r="K140" s="13" t="str">
        <f t="shared" si="9"/>
        <v>Sol. alternativa p/ não residenciais: sem campo no SINISA, computado como zero.</v>
      </c>
    </row>
    <row r="141" spans="1:11" ht="15" customHeight="1" x14ac:dyDescent="0.35">
      <c r="A141" s="12" t="s">
        <v>109</v>
      </c>
      <c r="B141" s="12">
        <f>Base_SINISA_Esgoto!G11+Base_SINISA_Esgoto!H11</f>
        <v>0</v>
      </c>
      <c r="C141" s="13">
        <f>Base_SINISA_Esgoto!I11</f>
        <v>0</v>
      </c>
      <c r="D141" s="13">
        <f>Base_SINISA_Esgoto!J11</f>
        <v>0</v>
      </c>
      <c r="E141" s="13">
        <f>Sol_Alternativas!P11+Sol_Alternativas!Q11</f>
        <v>0</v>
      </c>
      <c r="F141" s="13">
        <f t="shared" si="7"/>
        <v>0</v>
      </c>
      <c r="G141" s="13">
        <f>Base_Denominadores!F11</f>
        <v>144207</v>
      </c>
      <c r="H141" s="21">
        <f>IF(Base_SINISA_Esgoto!$C11="Ausente","n.c.",IF(OR(G141="",G141=0),"n.c.",IF(Base_Denominadores!$J11&lt;&gt;"OK","n.c.",F141/G141)))</f>
        <v>0</v>
      </c>
      <c r="I141" s="13" t="str">
        <f>IF(Base_SINISA_Esgoto!$C11="Ausente","Insatisfatório – prestador ausente",IF(OR(G141="",G141=0),"Não calculado – denominador ausente",IF(Base_Denominadores!$J11&lt;&gt;"OK","Não avaliável – denominador incoerente (ver auditoria)",IF(OR(Base_SINISA_Esgoto!$R11="Inconsistente – residencial&gt;total",Base_SINISA_Esgoto!$S11="Inconsistente – residencial&gt;total"),"Calculado com ressalva grave – inconsistência residencial/total na fonte",IF(COUNTBLANK(Base_SINISA_Esgoto!G11:J11)&gt;0,"Calculado com ressalva – parcela ausente = zero","Calculado")))))</f>
        <v>Calculado com ressalva – parcela ausente = zero</v>
      </c>
      <c r="J141" s="13" t="str">
        <f t="shared" si="8"/>
        <v>Não</v>
      </c>
      <c r="K141" s="13" t="str">
        <f t="shared" si="9"/>
        <v>Sol. alternativa p/ não residenciais: sem campo no SINISA, computado como zero.</v>
      </c>
    </row>
    <row r="142" spans="1:11" ht="15" customHeight="1" x14ac:dyDescent="0.35">
      <c r="A142" s="12" t="s">
        <v>111</v>
      </c>
      <c r="B142" s="12">
        <f>Base_SINISA_Esgoto!G12+Base_SINISA_Esgoto!H12</f>
        <v>0</v>
      </c>
      <c r="C142" s="13">
        <f>Base_SINISA_Esgoto!I12</f>
        <v>0</v>
      </c>
      <c r="D142" s="13">
        <f>Base_SINISA_Esgoto!J12</f>
        <v>0</v>
      </c>
      <c r="E142" s="13">
        <f>Sol_Alternativas!P12+Sol_Alternativas!Q12</f>
        <v>0</v>
      </c>
      <c r="F142" s="13">
        <f t="shared" si="7"/>
        <v>0</v>
      </c>
      <c r="G142" s="13">
        <f>Base_Denominadores!F12</f>
        <v>0</v>
      </c>
      <c r="H142" s="21" t="str">
        <f>IF(Base_SINISA_Esgoto!$C12="Ausente","n.c.",IF(OR(G142="",G142=0),"n.c.",IF(Base_Denominadores!$J12&lt;&gt;"OK","n.c.",F142/G142)))</f>
        <v>n.c.</v>
      </c>
      <c r="I142" s="13" t="str">
        <f>IF(Base_SINISA_Esgoto!$C12="Ausente","Insatisfatório – prestador ausente",IF(OR(G142="",G142=0),"Não calculado – denominador ausente",IF(Base_Denominadores!$J12&lt;&gt;"OK","Não avaliável – denominador incoerente (ver auditoria)",IF(OR(Base_SINISA_Esgoto!$R12="Inconsistente – residencial&gt;total",Base_SINISA_Esgoto!$S12="Inconsistente – residencial&gt;total"),"Calculado com ressalva grave – inconsistência residencial/total na fonte",IF(COUNTBLANK(Base_SINISA_Esgoto!G12:J12)&gt;0,"Calculado com ressalva – parcela ausente = zero","Calculado")))))</f>
        <v>Não calculado – denominador ausente</v>
      </c>
      <c r="J142" s="13" t="str">
        <f t="shared" si="8"/>
        <v>Não</v>
      </c>
      <c r="K142" s="13" t="str">
        <f t="shared" si="9"/>
        <v>Sol. alternativa p/ não residenciais: sem campo no SINISA, computado como zero.</v>
      </c>
    </row>
    <row r="143" spans="1:11" ht="15" customHeight="1" x14ac:dyDescent="0.35">
      <c r="A143" s="12" t="s">
        <v>113</v>
      </c>
      <c r="B143" s="12">
        <f>Base_SINISA_Esgoto!G13+Base_SINISA_Esgoto!H13</f>
        <v>0</v>
      </c>
      <c r="C143" s="13">
        <f>Base_SINISA_Esgoto!I13</f>
        <v>0</v>
      </c>
      <c r="D143" s="13">
        <f>Base_SINISA_Esgoto!J13</f>
        <v>0</v>
      </c>
      <c r="E143" s="13">
        <f>Sol_Alternativas!P13+Sol_Alternativas!Q13</f>
        <v>0</v>
      </c>
      <c r="F143" s="13">
        <f t="shared" si="7"/>
        <v>0</v>
      </c>
      <c r="G143" s="13">
        <f>Base_Denominadores!F13</f>
        <v>8836</v>
      </c>
      <c r="H143" s="21">
        <f>IF(Base_SINISA_Esgoto!$C13="Ausente","n.c.",IF(OR(G143="",G143=0),"n.c.",IF(Base_Denominadores!$J13&lt;&gt;"OK","n.c.",F143/G143)))</f>
        <v>0</v>
      </c>
      <c r="I143" s="13" t="str">
        <f>IF(Base_SINISA_Esgoto!$C13="Ausente","Insatisfatório – prestador ausente",IF(OR(G143="",G143=0),"Não calculado – denominador ausente",IF(Base_Denominadores!$J13&lt;&gt;"OK","Não avaliável – denominador incoerente (ver auditoria)",IF(OR(Base_SINISA_Esgoto!$R13="Inconsistente – residencial&gt;total",Base_SINISA_Esgoto!$S13="Inconsistente – residencial&gt;total"),"Calculado com ressalva grave – inconsistência residencial/total na fonte",IF(COUNTBLANK(Base_SINISA_Esgoto!G13:J13)&gt;0,"Calculado com ressalva – parcela ausente = zero","Calculado")))))</f>
        <v>Calculado</v>
      </c>
      <c r="J143" s="13" t="str">
        <f t="shared" si="8"/>
        <v>Sim</v>
      </c>
      <c r="K143" s="13" t="str">
        <f t="shared" si="9"/>
        <v>Sol. alternativa p/ não residenciais: sem campo no SINISA, computado como zero.</v>
      </c>
    </row>
    <row r="144" spans="1:11" ht="15" customHeight="1" x14ac:dyDescent="0.35">
      <c r="A144" s="12" t="s">
        <v>114</v>
      </c>
      <c r="B144" s="12">
        <f>Base_SINISA_Esgoto!G14+Base_SINISA_Esgoto!H14</f>
        <v>0</v>
      </c>
      <c r="C144" s="13">
        <f>Base_SINISA_Esgoto!I14</f>
        <v>0</v>
      </c>
      <c r="D144" s="13">
        <f>Base_SINISA_Esgoto!J14</f>
        <v>0</v>
      </c>
      <c r="E144" s="13">
        <f>Sol_Alternativas!P14+Sol_Alternativas!Q14</f>
        <v>0</v>
      </c>
      <c r="F144" s="13">
        <f t="shared" si="7"/>
        <v>0</v>
      </c>
      <c r="G144" s="13">
        <f>Base_Denominadores!F14</f>
        <v>5260</v>
      </c>
      <c r="H144" s="21" t="str">
        <f>IF(Base_SINISA_Esgoto!$C14="Ausente","n.c.",IF(OR(G144="",G144=0),"n.c.",IF(Base_Denominadores!$J14&lt;&gt;"OK","n.c.",F144/G144)))</f>
        <v>n.c.</v>
      </c>
      <c r="I144" s="13" t="str">
        <f>IF(Base_SINISA_Esgoto!$C14="Ausente","Insatisfatório – prestador ausente",IF(OR(G144="",G144=0),"Não calculado – denominador ausente",IF(Base_Denominadores!$J14&lt;&gt;"OK","Não avaliável – denominador incoerente (ver auditoria)",IF(OR(Base_SINISA_Esgoto!$R14="Inconsistente – residencial&gt;total",Base_SINISA_Esgoto!$S14="Inconsistente – residencial&gt;total"),"Calculado com ressalva grave – inconsistência residencial/total na fonte",IF(COUNTBLANK(Base_SINISA_Esgoto!G14:J14)&gt;0,"Calculado com ressalva – parcela ausente = zero","Calculado")))))</f>
        <v>Não avaliável – denominador incoerente (ver auditoria)</v>
      </c>
      <c r="J144" s="13" t="str">
        <f t="shared" si="8"/>
        <v>Não</v>
      </c>
      <c r="K144" s="13" t="str">
        <f t="shared" si="9"/>
        <v>Sol. alternativa p/ não residenciais: sem campo no SINISA, computado como zero.</v>
      </c>
    </row>
    <row r="145" spans="1:11" ht="15" customHeight="1" x14ac:dyDescent="0.35">
      <c r="A145" s="12" t="s">
        <v>115</v>
      </c>
      <c r="B145" s="12">
        <f>Base_SINISA_Esgoto!G15+Base_SINISA_Esgoto!H15</f>
        <v>0</v>
      </c>
      <c r="C145" s="13">
        <f>Base_SINISA_Esgoto!I15</f>
        <v>0</v>
      </c>
      <c r="D145" s="13">
        <f>Base_SINISA_Esgoto!J15</f>
        <v>0</v>
      </c>
      <c r="E145" s="13">
        <f>Sol_Alternativas!P15+Sol_Alternativas!Q15</f>
        <v>0</v>
      </c>
      <c r="F145" s="13">
        <f t="shared" si="7"/>
        <v>0</v>
      </c>
      <c r="G145" s="13">
        <f>Base_Denominadores!F15</f>
        <v>0</v>
      </c>
      <c r="H145" s="21" t="str">
        <f>IF(Base_SINISA_Esgoto!$C15="Ausente","n.c.",IF(OR(G145="",G145=0),"n.c.",IF(Base_Denominadores!$J15&lt;&gt;"OK","n.c.",F145/G145)))</f>
        <v>n.c.</v>
      </c>
      <c r="I145" s="13" t="str">
        <f>IF(Base_SINISA_Esgoto!$C15="Ausente","Insatisfatório – prestador ausente",IF(OR(G145="",G145=0),"Não calculado – denominador ausente",IF(Base_Denominadores!$J15&lt;&gt;"OK","Não avaliável – denominador incoerente (ver auditoria)",IF(OR(Base_SINISA_Esgoto!$R15="Inconsistente – residencial&gt;total",Base_SINISA_Esgoto!$S15="Inconsistente – residencial&gt;total"),"Calculado com ressalva grave – inconsistência residencial/total na fonte",IF(COUNTBLANK(Base_SINISA_Esgoto!G15:J15)&gt;0,"Calculado com ressalva – parcela ausente = zero","Calculado")))))</f>
        <v>Insatisfatório – prestador ausente</v>
      </c>
      <c r="J145" s="13" t="str">
        <f t="shared" si="8"/>
        <v>Não</v>
      </c>
      <c r="K145" s="13" t="str">
        <f t="shared" si="9"/>
        <v>Sol. alternativa p/ não residenciais: sem campo no SINISA, computado como zero.</v>
      </c>
    </row>
    <row r="146" spans="1:11" ht="15" customHeight="1" x14ac:dyDescent="0.35">
      <c r="A146" s="12" t="s">
        <v>117</v>
      </c>
      <c r="B146" s="12">
        <f>Base_SINISA_Esgoto!G16+Base_SINISA_Esgoto!H16</f>
        <v>0</v>
      </c>
      <c r="C146" s="13">
        <f>Base_SINISA_Esgoto!I16</f>
        <v>0</v>
      </c>
      <c r="D146" s="13">
        <f>Base_SINISA_Esgoto!J16</f>
        <v>0</v>
      </c>
      <c r="E146" s="13">
        <f>Sol_Alternativas!P16+Sol_Alternativas!Q16</f>
        <v>0</v>
      </c>
      <c r="F146" s="13">
        <f t="shared" si="7"/>
        <v>0</v>
      </c>
      <c r="G146" s="13">
        <f>Base_Denominadores!F16</f>
        <v>0</v>
      </c>
      <c r="H146" s="21" t="str">
        <f>IF(Base_SINISA_Esgoto!$C16="Ausente","n.c.",IF(OR(G146="",G146=0),"n.c.",IF(Base_Denominadores!$J16&lt;&gt;"OK","n.c.",F146/G146)))</f>
        <v>n.c.</v>
      </c>
      <c r="I146" s="13" t="str">
        <f>IF(Base_SINISA_Esgoto!$C16="Ausente","Insatisfatório – prestador ausente",IF(OR(G146="",G146=0),"Não calculado – denominador ausente",IF(Base_Denominadores!$J16&lt;&gt;"OK","Não avaliável – denominador incoerente (ver auditoria)",IF(OR(Base_SINISA_Esgoto!$R16="Inconsistente – residencial&gt;total",Base_SINISA_Esgoto!$S16="Inconsistente – residencial&gt;total"),"Calculado com ressalva grave – inconsistência residencial/total na fonte",IF(COUNTBLANK(Base_SINISA_Esgoto!G16:J16)&gt;0,"Calculado com ressalva – parcela ausente = zero","Calculado")))))</f>
        <v>Não calculado – denominador ausente</v>
      </c>
      <c r="J146" s="13" t="str">
        <f t="shared" si="8"/>
        <v>Não</v>
      </c>
      <c r="K146" s="13" t="str">
        <f t="shared" si="9"/>
        <v>Sol. alternativa p/ não residenciais: sem campo no SINISA, computado como zero.</v>
      </c>
    </row>
    <row r="147" spans="1:11" ht="15" customHeight="1" x14ac:dyDescent="0.35">
      <c r="A147" s="12" t="s">
        <v>119</v>
      </c>
      <c r="B147" s="12">
        <f>Base_SINISA_Esgoto!G17+Base_SINISA_Esgoto!H17</f>
        <v>0</v>
      </c>
      <c r="C147" s="13">
        <f>Base_SINISA_Esgoto!I17</f>
        <v>0</v>
      </c>
      <c r="D147" s="13">
        <f>Base_SINISA_Esgoto!J17</f>
        <v>0</v>
      </c>
      <c r="E147" s="13">
        <f>Sol_Alternativas!P17+Sol_Alternativas!Q17</f>
        <v>0</v>
      </c>
      <c r="F147" s="13">
        <f t="shared" si="7"/>
        <v>0</v>
      </c>
      <c r="G147" s="13">
        <f>Base_Denominadores!F17</f>
        <v>7120</v>
      </c>
      <c r="H147" s="21">
        <f>IF(Base_SINISA_Esgoto!$C17="Ausente","n.c.",IF(OR(G147="",G147=0),"n.c.",IF(Base_Denominadores!$J17&lt;&gt;"OK","n.c.",F147/G147)))</f>
        <v>0</v>
      </c>
      <c r="I147" s="13" t="str">
        <f>IF(Base_SINISA_Esgoto!$C17="Ausente","Insatisfatório – prestador ausente",IF(OR(G147="",G147=0),"Não calculado – denominador ausente",IF(Base_Denominadores!$J17&lt;&gt;"OK","Não avaliável – denominador incoerente (ver auditoria)",IF(OR(Base_SINISA_Esgoto!$R17="Inconsistente – residencial&gt;total",Base_SINISA_Esgoto!$S17="Inconsistente – residencial&gt;total"),"Calculado com ressalva grave – inconsistência residencial/total na fonte",IF(COUNTBLANK(Base_SINISA_Esgoto!G17:J17)&gt;0,"Calculado com ressalva – parcela ausente = zero","Calculado")))))</f>
        <v>Calculado</v>
      </c>
      <c r="J147" s="13" t="str">
        <f t="shared" si="8"/>
        <v>Sim</v>
      </c>
      <c r="K147" s="13" t="str">
        <f t="shared" si="9"/>
        <v>Sol. alternativa p/ não residenciais: sem campo no SINISA, computado como zero.</v>
      </c>
    </row>
    <row r="148" spans="1:11" ht="15" customHeight="1" x14ac:dyDescent="0.35">
      <c r="A148" s="12" t="s">
        <v>121</v>
      </c>
      <c r="B148" s="12">
        <f>Base_SINISA_Esgoto!G18+Base_SINISA_Esgoto!H18</f>
        <v>0</v>
      </c>
      <c r="C148" s="13">
        <f>Base_SINISA_Esgoto!I18</f>
        <v>0</v>
      </c>
      <c r="D148" s="13">
        <f>Base_SINISA_Esgoto!J18</f>
        <v>0</v>
      </c>
      <c r="E148" s="13">
        <f>Sol_Alternativas!P18+Sol_Alternativas!Q18</f>
        <v>0</v>
      </c>
      <c r="F148" s="13">
        <f t="shared" si="7"/>
        <v>0</v>
      </c>
      <c r="G148" s="13">
        <f>Base_Denominadores!F18</f>
        <v>0</v>
      </c>
      <c r="H148" s="21" t="str">
        <f>IF(Base_SINISA_Esgoto!$C18="Ausente","n.c.",IF(OR(G148="",G148=0),"n.c.",IF(Base_Denominadores!$J18&lt;&gt;"OK","n.c.",F148/G148)))</f>
        <v>n.c.</v>
      </c>
      <c r="I148" s="13" t="str">
        <f>IF(Base_SINISA_Esgoto!$C18="Ausente","Insatisfatório – prestador ausente",IF(OR(G148="",G148=0),"Não calculado – denominador ausente",IF(Base_Denominadores!$J18&lt;&gt;"OK","Não avaliável – denominador incoerente (ver auditoria)",IF(OR(Base_SINISA_Esgoto!$R18="Inconsistente – residencial&gt;total",Base_SINISA_Esgoto!$S18="Inconsistente – residencial&gt;total"),"Calculado com ressalva grave – inconsistência residencial/total na fonte",IF(COUNTBLANK(Base_SINISA_Esgoto!G18:J18)&gt;0,"Calculado com ressalva – parcela ausente = zero","Calculado")))))</f>
        <v>Não calculado – denominador ausente</v>
      </c>
      <c r="J148" s="13" t="str">
        <f t="shared" si="8"/>
        <v>Não</v>
      </c>
      <c r="K148" s="13" t="str">
        <f t="shared" si="9"/>
        <v>Sol. alternativa p/ não residenciais: sem campo no SINISA, computado como zero.</v>
      </c>
    </row>
    <row r="149" spans="1:11" ht="15" customHeight="1" x14ac:dyDescent="0.35">
      <c r="A149" s="12" t="s">
        <v>122</v>
      </c>
      <c r="B149" s="12">
        <f>Base_SINISA_Esgoto!G19+Base_SINISA_Esgoto!H19</f>
        <v>0</v>
      </c>
      <c r="C149" s="13">
        <f>Base_SINISA_Esgoto!I19</f>
        <v>0</v>
      </c>
      <c r="D149" s="13">
        <f>Base_SINISA_Esgoto!J19</f>
        <v>0</v>
      </c>
      <c r="E149" s="13">
        <f>Sol_Alternativas!P19+Sol_Alternativas!Q19</f>
        <v>0</v>
      </c>
      <c r="F149" s="13">
        <f t="shared" si="7"/>
        <v>0</v>
      </c>
      <c r="G149" s="13">
        <f>Base_Denominadores!F19</f>
        <v>0</v>
      </c>
      <c r="H149" s="21" t="str">
        <f>IF(Base_SINISA_Esgoto!$C19="Ausente","n.c.",IF(OR(G149="",G149=0),"n.c.",IF(Base_Denominadores!$J19&lt;&gt;"OK","n.c.",F149/G149)))</f>
        <v>n.c.</v>
      </c>
      <c r="I149" s="13" t="str">
        <f>IF(Base_SINISA_Esgoto!$C19="Ausente","Insatisfatório – prestador ausente",IF(OR(G149="",G149=0),"Não calculado – denominador ausente",IF(Base_Denominadores!$J19&lt;&gt;"OK","Não avaliável – denominador incoerente (ver auditoria)",IF(OR(Base_SINISA_Esgoto!$R19="Inconsistente – residencial&gt;total",Base_SINISA_Esgoto!$S19="Inconsistente – residencial&gt;total"),"Calculado com ressalva grave – inconsistência residencial/total na fonte",IF(COUNTBLANK(Base_SINISA_Esgoto!G19:J19)&gt;0,"Calculado com ressalva – parcela ausente = zero","Calculado")))))</f>
        <v>Não calculado – denominador ausente</v>
      </c>
      <c r="J149" s="13" t="str">
        <f t="shared" si="8"/>
        <v>Não</v>
      </c>
      <c r="K149" s="13" t="str">
        <f t="shared" si="9"/>
        <v>Sol. alternativa p/ não residenciais: sem campo no SINISA, computado como zero.</v>
      </c>
    </row>
    <row r="150" spans="1:11" ht="15" customHeight="1" x14ac:dyDescent="0.35">
      <c r="A150" s="12" t="s">
        <v>123</v>
      </c>
      <c r="B150" s="12">
        <f>Base_SINISA_Esgoto!G20+Base_SINISA_Esgoto!H20</f>
        <v>0</v>
      </c>
      <c r="C150" s="13">
        <f>Base_SINISA_Esgoto!I20</f>
        <v>30</v>
      </c>
      <c r="D150" s="13">
        <f>Base_SINISA_Esgoto!J20</f>
        <v>0</v>
      </c>
      <c r="E150" s="13">
        <f>Sol_Alternativas!P20+Sol_Alternativas!Q20</f>
        <v>0</v>
      </c>
      <c r="F150" s="13">
        <f t="shared" si="7"/>
        <v>30</v>
      </c>
      <c r="G150" s="13">
        <f>Base_Denominadores!F20</f>
        <v>0</v>
      </c>
      <c r="H150" s="21" t="str">
        <f>IF(Base_SINISA_Esgoto!$C20="Ausente","n.c.",IF(OR(G150="",G150=0),"n.c.",IF(Base_Denominadores!$J20&lt;&gt;"OK","n.c.",F150/G150)))</f>
        <v>n.c.</v>
      </c>
      <c r="I150" s="13" t="str">
        <f>IF(Base_SINISA_Esgoto!$C20="Ausente","Insatisfatório – prestador ausente",IF(OR(G150="",G150=0),"Não calculado – denominador ausente",IF(Base_Denominadores!$J20&lt;&gt;"OK","Não avaliável – denominador incoerente (ver auditoria)",IF(OR(Base_SINISA_Esgoto!$R20="Inconsistente – residencial&gt;total",Base_SINISA_Esgoto!$S20="Inconsistente – residencial&gt;total"),"Calculado com ressalva grave – inconsistência residencial/total na fonte",IF(COUNTBLANK(Base_SINISA_Esgoto!G20:J20)&gt;0,"Calculado com ressalva – parcela ausente = zero","Calculado")))))</f>
        <v>Não calculado – denominador ausente</v>
      </c>
      <c r="J150" s="13" t="str">
        <f t="shared" si="8"/>
        <v>Não</v>
      </c>
      <c r="K150" s="13" t="str">
        <f t="shared" si="9"/>
        <v>Sol. alternativa p/ não residenciais: sem campo no SINISA, computado como zero.</v>
      </c>
    </row>
    <row r="151" spans="1:11" ht="15" customHeight="1" x14ac:dyDescent="0.35">
      <c r="A151" s="12" t="s">
        <v>125</v>
      </c>
      <c r="B151" s="12">
        <f>Base_SINISA_Esgoto!G21+Base_SINISA_Esgoto!H21</f>
        <v>0</v>
      </c>
      <c r="C151" s="13">
        <f>Base_SINISA_Esgoto!I21</f>
        <v>0</v>
      </c>
      <c r="D151" s="13">
        <f>Base_SINISA_Esgoto!J21</f>
        <v>0</v>
      </c>
      <c r="E151" s="13">
        <f>Sol_Alternativas!P21+Sol_Alternativas!Q21</f>
        <v>0</v>
      </c>
      <c r="F151" s="13">
        <f t="shared" si="7"/>
        <v>0</v>
      </c>
      <c r="G151" s="13">
        <f>Base_Denominadores!F21</f>
        <v>0</v>
      </c>
      <c r="H151" s="21" t="str">
        <f>IF(Base_SINISA_Esgoto!$C21="Ausente","n.c.",IF(OR(G151="",G151=0),"n.c.",IF(Base_Denominadores!$J21&lt;&gt;"OK","n.c.",F151/G151)))</f>
        <v>n.c.</v>
      </c>
      <c r="I151" s="13" t="str">
        <f>IF(Base_SINISA_Esgoto!$C21="Ausente","Insatisfatório – prestador ausente",IF(OR(G151="",G151=0),"Não calculado – denominador ausente",IF(Base_Denominadores!$J21&lt;&gt;"OK","Não avaliável – denominador incoerente (ver auditoria)",IF(OR(Base_SINISA_Esgoto!$R21="Inconsistente – residencial&gt;total",Base_SINISA_Esgoto!$S21="Inconsistente – residencial&gt;total"),"Calculado com ressalva grave – inconsistência residencial/total na fonte",IF(COUNTBLANK(Base_SINISA_Esgoto!G21:J21)&gt;0,"Calculado com ressalva – parcela ausente = zero","Calculado")))))</f>
        <v>Não calculado – denominador ausente</v>
      </c>
      <c r="J151" s="13" t="str">
        <f t="shared" si="8"/>
        <v>Não</v>
      </c>
      <c r="K151" s="13" t="str">
        <f t="shared" si="9"/>
        <v>Sol. alternativa p/ não residenciais: sem campo no SINISA, computado como zero.</v>
      </c>
    </row>
    <row r="152" spans="1:11" ht="15" customHeight="1" x14ac:dyDescent="0.35">
      <c r="A152" s="12" t="s">
        <v>126</v>
      </c>
      <c r="B152" s="12">
        <f>Base_SINISA_Esgoto!G22+Base_SINISA_Esgoto!H22</f>
        <v>6903</v>
      </c>
      <c r="C152" s="13">
        <f>Base_SINISA_Esgoto!I22</f>
        <v>373</v>
      </c>
      <c r="D152" s="13">
        <f>Base_SINISA_Esgoto!J22</f>
        <v>0</v>
      </c>
      <c r="E152" s="13">
        <f>Sol_Alternativas!P22+Sol_Alternativas!Q22</f>
        <v>0</v>
      </c>
      <c r="F152" s="13">
        <f t="shared" si="7"/>
        <v>7276</v>
      </c>
      <c r="G152" s="13">
        <f>Base_Denominadores!F22</f>
        <v>11698</v>
      </c>
      <c r="H152" s="21">
        <f>IF(Base_SINISA_Esgoto!$C22="Ausente","n.c.",IF(OR(G152="",G152=0),"n.c.",IF(Base_Denominadores!$J22&lt;&gt;"OK","n.c.",F152/G152)))</f>
        <v>0.62198666438707473</v>
      </c>
      <c r="I152" s="13" t="str">
        <f>IF(Base_SINISA_Esgoto!$C22="Ausente","Insatisfatório – prestador ausente",IF(OR(G152="",G152=0),"Não calculado – denominador ausente",IF(Base_Denominadores!$J22&lt;&gt;"OK","Não avaliável – denominador incoerente (ver auditoria)",IF(OR(Base_SINISA_Esgoto!$R22="Inconsistente – residencial&gt;total",Base_SINISA_Esgoto!$S22="Inconsistente – residencial&gt;total"),"Calculado com ressalva grave – inconsistência residencial/total na fonte",IF(COUNTBLANK(Base_SINISA_Esgoto!G22:J22)&gt;0,"Calculado com ressalva – parcela ausente = zero","Calculado")))))</f>
        <v>Calculado</v>
      </c>
      <c r="J152" s="13" t="str">
        <f t="shared" si="8"/>
        <v>Sim</v>
      </c>
      <c r="K152" s="13" t="str">
        <f t="shared" si="9"/>
        <v>Sol. alternativa p/ não residenciais: sem campo no SINISA, computado como zero.</v>
      </c>
    </row>
    <row r="153" spans="1:11" ht="15" customHeight="1" x14ac:dyDescent="0.35">
      <c r="A153" s="12" t="s">
        <v>127</v>
      </c>
      <c r="B153" s="12">
        <f>Base_SINISA_Esgoto!G23+Base_SINISA_Esgoto!H23</f>
        <v>0</v>
      </c>
      <c r="C153" s="13">
        <f>Base_SINISA_Esgoto!I23</f>
        <v>0</v>
      </c>
      <c r="D153" s="13">
        <f>Base_SINISA_Esgoto!J23</f>
        <v>0</v>
      </c>
      <c r="E153" s="13">
        <f>Sol_Alternativas!P23+Sol_Alternativas!Q23</f>
        <v>0</v>
      </c>
      <c r="F153" s="13">
        <f t="shared" si="7"/>
        <v>0</v>
      </c>
      <c r="G153" s="13">
        <f>Base_Denominadores!F23</f>
        <v>34087</v>
      </c>
      <c r="H153" s="21">
        <f>IF(Base_SINISA_Esgoto!$C23="Ausente","n.c.",IF(OR(G153="",G153=0),"n.c.",IF(Base_Denominadores!$J23&lt;&gt;"OK","n.c.",F153/G153)))</f>
        <v>0</v>
      </c>
      <c r="I153" s="13" t="str">
        <f>IF(Base_SINISA_Esgoto!$C23="Ausente","Insatisfatório – prestador ausente",IF(OR(G153="",G153=0),"Não calculado – denominador ausente",IF(Base_Denominadores!$J23&lt;&gt;"OK","Não avaliável – denominador incoerente (ver auditoria)",IF(OR(Base_SINISA_Esgoto!$R23="Inconsistente – residencial&gt;total",Base_SINISA_Esgoto!$S23="Inconsistente – residencial&gt;total"),"Calculado com ressalva grave – inconsistência residencial/total na fonte",IF(COUNTBLANK(Base_SINISA_Esgoto!G23:J23)&gt;0,"Calculado com ressalva – parcela ausente = zero","Calculado")))))</f>
        <v>Calculado</v>
      </c>
      <c r="J153" s="13" t="str">
        <f t="shared" si="8"/>
        <v>Sim</v>
      </c>
      <c r="K153" s="13" t="str">
        <f t="shared" si="9"/>
        <v>Sol. alternativa p/ não residenciais: sem campo no SINISA, computado como zero.</v>
      </c>
    </row>
    <row r="154" spans="1:11" ht="15" customHeight="1" x14ac:dyDescent="0.35">
      <c r="A154" s="12" t="s">
        <v>129</v>
      </c>
      <c r="B154" s="12">
        <f>Base_SINISA_Esgoto!G24+Base_SINISA_Esgoto!H24</f>
        <v>0</v>
      </c>
      <c r="C154" s="13">
        <f>Base_SINISA_Esgoto!I24</f>
        <v>0</v>
      </c>
      <c r="D154" s="13">
        <f>Base_SINISA_Esgoto!J24</f>
        <v>0</v>
      </c>
      <c r="E154" s="13">
        <f>Sol_Alternativas!P24+Sol_Alternativas!Q24</f>
        <v>0</v>
      </c>
      <c r="F154" s="13">
        <f t="shared" si="7"/>
        <v>0</v>
      </c>
      <c r="G154" s="13">
        <f>Base_Denominadores!F24</f>
        <v>51069</v>
      </c>
      <c r="H154" s="21">
        <f>IF(Base_SINISA_Esgoto!$C24="Ausente","n.c.",IF(OR(G154="",G154=0),"n.c.",IF(Base_Denominadores!$J24&lt;&gt;"OK","n.c.",F154/G154)))</f>
        <v>0</v>
      </c>
      <c r="I154" s="13" t="str">
        <f>IF(Base_SINISA_Esgoto!$C24="Ausente","Insatisfatório – prestador ausente",IF(OR(G154="",G154=0),"Não calculado – denominador ausente",IF(Base_Denominadores!$J24&lt;&gt;"OK","Não avaliável – denominador incoerente (ver auditoria)",IF(OR(Base_SINISA_Esgoto!$R24="Inconsistente – residencial&gt;total",Base_SINISA_Esgoto!$S24="Inconsistente – residencial&gt;total"),"Calculado com ressalva grave – inconsistência residencial/total na fonte",IF(COUNTBLANK(Base_SINISA_Esgoto!G24:J24)&gt;0,"Calculado com ressalva – parcela ausente = zero","Calculado")))))</f>
        <v>Calculado com ressalva grave – inconsistência residencial/total na fonte</v>
      </c>
      <c r="J154" s="13" t="str">
        <f t="shared" si="8"/>
        <v>Não</v>
      </c>
      <c r="K154" s="13" t="str">
        <f t="shared" si="9"/>
        <v>Sol. alternativa p/ não residenciais: sem campo no SINISA, computado como zero.</v>
      </c>
    </row>
    <row r="155" spans="1:11" ht="15" customHeight="1" x14ac:dyDescent="0.35">
      <c r="A155" s="12" t="s">
        <v>131</v>
      </c>
      <c r="B155" s="12">
        <f>Base_SINISA_Esgoto!G25+Base_SINISA_Esgoto!H25</f>
        <v>0</v>
      </c>
      <c r="C155" s="13">
        <f>Base_SINISA_Esgoto!I25</f>
        <v>0</v>
      </c>
      <c r="D155" s="13">
        <f>Base_SINISA_Esgoto!J25</f>
        <v>0</v>
      </c>
      <c r="E155" s="13">
        <f>Sol_Alternativas!P25+Sol_Alternativas!Q25</f>
        <v>0</v>
      </c>
      <c r="F155" s="13">
        <f t="shared" si="7"/>
        <v>0</v>
      </c>
      <c r="G155" s="13">
        <f>Base_Denominadores!F25</f>
        <v>0</v>
      </c>
      <c r="H155" s="21" t="str">
        <f>IF(Base_SINISA_Esgoto!$C25="Ausente","n.c.",IF(OR(G155="",G155=0),"n.c.",IF(Base_Denominadores!$J25&lt;&gt;"OK","n.c.",F155/G155)))</f>
        <v>n.c.</v>
      </c>
      <c r="I155" s="13" t="str">
        <f>IF(Base_SINISA_Esgoto!$C25="Ausente","Insatisfatório – prestador ausente",IF(OR(G155="",G155=0),"Não calculado – denominador ausente",IF(Base_Denominadores!$J25&lt;&gt;"OK","Não avaliável – denominador incoerente (ver auditoria)",IF(OR(Base_SINISA_Esgoto!$R25="Inconsistente – residencial&gt;total",Base_SINISA_Esgoto!$S25="Inconsistente – residencial&gt;total"),"Calculado com ressalva grave – inconsistência residencial/total na fonte",IF(COUNTBLANK(Base_SINISA_Esgoto!G25:J25)&gt;0,"Calculado com ressalva – parcela ausente = zero","Calculado")))))</f>
        <v>Não calculado – denominador ausente</v>
      </c>
      <c r="J155" s="13" t="str">
        <f t="shared" si="8"/>
        <v>Não</v>
      </c>
      <c r="K155" s="13" t="str">
        <f t="shared" si="9"/>
        <v>Sol. alternativa p/ não residenciais: sem campo no SINISA, computado como zero.</v>
      </c>
    </row>
    <row r="156" spans="1:11" ht="15" customHeight="1" x14ac:dyDescent="0.35">
      <c r="A156" s="12" t="s">
        <v>132</v>
      </c>
      <c r="B156" s="12">
        <f>Base_SINISA_Esgoto!G26+Base_SINISA_Esgoto!H26</f>
        <v>0</v>
      </c>
      <c r="C156" s="13">
        <f>Base_SINISA_Esgoto!I26</f>
        <v>0</v>
      </c>
      <c r="D156" s="13">
        <f>Base_SINISA_Esgoto!J26</f>
        <v>0</v>
      </c>
      <c r="E156" s="13">
        <f>Sol_Alternativas!P26+Sol_Alternativas!Q26</f>
        <v>0</v>
      </c>
      <c r="F156" s="13">
        <f t="shared" si="7"/>
        <v>0</v>
      </c>
      <c r="G156" s="13">
        <f>Base_Denominadores!F26</f>
        <v>0</v>
      </c>
      <c r="H156" s="21" t="str">
        <f>IF(Base_SINISA_Esgoto!$C26="Ausente","n.c.",IF(OR(G156="",G156=0),"n.c.",IF(Base_Denominadores!$J26&lt;&gt;"OK","n.c.",F156/G156)))</f>
        <v>n.c.</v>
      </c>
      <c r="I156" s="13" t="str">
        <f>IF(Base_SINISA_Esgoto!$C26="Ausente","Insatisfatório – prestador ausente",IF(OR(G156="",G156=0),"Não calculado – denominador ausente",IF(Base_Denominadores!$J26&lt;&gt;"OK","Não avaliável – denominador incoerente (ver auditoria)",IF(OR(Base_SINISA_Esgoto!$R26="Inconsistente – residencial&gt;total",Base_SINISA_Esgoto!$S26="Inconsistente – residencial&gt;total"),"Calculado com ressalva grave – inconsistência residencial/total na fonte",IF(COUNTBLANK(Base_SINISA_Esgoto!G26:J26)&gt;0,"Calculado com ressalva – parcela ausente = zero","Calculado")))))</f>
        <v>Não calculado – denominador ausente</v>
      </c>
      <c r="J156" s="13" t="str">
        <f t="shared" si="8"/>
        <v>Não</v>
      </c>
      <c r="K156" s="13" t="str">
        <f t="shared" si="9"/>
        <v>Sol. alternativa p/ não residenciais: sem campo no SINISA, computado como zero.</v>
      </c>
    </row>
    <row r="157" spans="1:11" ht="15" customHeight="1" x14ac:dyDescent="0.35">
      <c r="A157" s="12" t="s">
        <v>134</v>
      </c>
      <c r="B157" s="12">
        <f>Base_SINISA_Esgoto!G27+Base_SINISA_Esgoto!H27</f>
        <v>0</v>
      </c>
      <c r="C157" s="13">
        <f>Base_SINISA_Esgoto!I27</f>
        <v>0</v>
      </c>
      <c r="D157" s="13">
        <f>Base_SINISA_Esgoto!J27</f>
        <v>0</v>
      </c>
      <c r="E157" s="13">
        <f>Sol_Alternativas!P27+Sol_Alternativas!Q27</f>
        <v>0</v>
      </c>
      <c r="F157" s="13">
        <f t="shared" si="7"/>
        <v>0</v>
      </c>
      <c r="G157" s="13">
        <f>Base_Denominadores!F27</f>
        <v>2498</v>
      </c>
      <c r="H157" s="21" t="str">
        <f>IF(Base_SINISA_Esgoto!$C27="Ausente","n.c.",IF(OR(G157="",G157=0),"n.c.",IF(Base_Denominadores!$J27&lt;&gt;"OK","n.c.",F157/G157)))</f>
        <v>n.c.</v>
      </c>
      <c r="I157" s="13" t="str">
        <f>IF(Base_SINISA_Esgoto!$C27="Ausente","Insatisfatório – prestador ausente",IF(OR(G157="",G157=0),"Não calculado – denominador ausente",IF(Base_Denominadores!$J27&lt;&gt;"OK","Não avaliável – denominador incoerente (ver auditoria)",IF(OR(Base_SINISA_Esgoto!$R27="Inconsistente – residencial&gt;total",Base_SINISA_Esgoto!$S27="Inconsistente – residencial&gt;total"),"Calculado com ressalva grave – inconsistência residencial/total na fonte",IF(COUNTBLANK(Base_SINISA_Esgoto!G27:J27)&gt;0,"Calculado com ressalva – parcela ausente = zero","Calculado")))))</f>
        <v>Não avaliável – denominador incoerente (ver auditoria)</v>
      </c>
      <c r="J157" s="13" t="str">
        <f t="shared" si="8"/>
        <v>Não</v>
      </c>
      <c r="K157" s="13" t="str">
        <f t="shared" si="9"/>
        <v>Sol. alternativa p/ não residenciais: sem campo no SINISA, computado como zero.</v>
      </c>
    </row>
    <row r="158" spans="1:11" ht="15" customHeight="1" x14ac:dyDescent="0.35">
      <c r="A158" s="12" t="s">
        <v>135</v>
      </c>
      <c r="B158" s="12">
        <f>Base_SINISA_Esgoto!G28+Base_SINISA_Esgoto!H28</f>
        <v>0</v>
      </c>
      <c r="C158" s="13">
        <f>Base_SINISA_Esgoto!I28</f>
        <v>0</v>
      </c>
      <c r="D158" s="13">
        <f>Base_SINISA_Esgoto!J28</f>
        <v>0</v>
      </c>
      <c r="E158" s="13">
        <f>Sol_Alternativas!P28+Sol_Alternativas!Q28</f>
        <v>0</v>
      </c>
      <c r="F158" s="13">
        <f t="shared" si="7"/>
        <v>0</v>
      </c>
      <c r="G158" s="13">
        <f>Base_Denominadores!F28</f>
        <v>203</v>
      </c>
      <c r="H158" s="21" t="str">
        <f>IF(Base_SINISA_Esgoto!$C28="Ausente","n.c.",IF(OR(G158="",G158=0),"n.c.",IF(Base_Denominadores!$J28&lt;&gt;"OK","n.c.",F158/G158)))</f>
        <v>n.c.</v>
      </c>
      <c r="I158" s="13" t="str">
        <f>IF(Base_SINISA_Esgoto!$C28="Ausente","Insatisfatório – prestador ausente",IF(OR(G158="",G158=0),"Não calculado – denominador ausente",IF(Base_Denominadores!$J28&lt;&gt;"OK","Não avaliável – denominador incoerente (ver auditoria)",IF(OR(Base_SINISA_Esgoto!$R28="Inconsistente – residencial&gt;total",Base_SINISA_Esgoto!$S28="Inconsistente – residencial&gt;total"),"Calculado com ressalva grave – inconsistência residencial/total na fonte",IF(COUNTBLANK(Base_SINISA_Esgoto!G28:J28)&gt;0,"Calculado com ressalva – parcela ausente = zero","Calculado")))))</f>
        <v>Não avaliável – denominador incoerente (ver auditoria)</v>
      </c>
      <c r="J158" s="13" t="str">
        <f t="shared" si="8"/>
        <v>Não</v>
      </c>
      <c r="K158" s="13" t="str">
        <f t="shared" si="9"/>
        <v>Sol. alternativa p/ não residenciais: sem campo no SINISA, computado como zero.</v>
      </c>
    </row>
    <row r="159" spans="1:11" ht="15" customHeight="1" x14ac:dyDescent="0.35">
      <c r="A159" s="12" t="s">
        <v>137</v>
      </c>
      <c r="B159" s="12">
        <f>Base_SINISA_Esgoto!G29+Base_SINISA_Esgoto!H29</f>
        <v>0</v>
      </c>
      <c r="C159" s="13">
        <f>Base_SINISA_Esgoto!I29</f>
        <v>0</v>
      </c>
      <c r="D159" s="13">
        <f>Base_SINISA_Esgoto!J29</f>
        <v>0</v>
      </c>
      <c r="E159" s="13">
        <f>Sol_Alternativas!P29+Sol_Alternativas!Q29</f>
        <v>0</v>
      </c>
      <c r="F159" s="13">
        <f t="shared" si="7"/>
        <v>0</v>
      </c>
      <c r="G159" s="13">
        <f>Base_Denominadores!F29</f>
        <v>0</v>
      </c>
      <c r="H159" s="21" t="str">
        <f>IF(Base_SINISA_Esgoto!$C29="Ausente","n.c.",IF(OR(G159="",G159=0),"n.c.",IF(Base_Denominadores!$J29&lt;&gt;"OK","n.c.",F159/G159)))</f>
        <v>n.c.</v>
      </c>
      <c r="I159" s="13" t="str">
        <f>IF(Base_SINISA_Esgoto!$C29="Ausente","Insatisfatório – prestador ausente",IF(OR(G159="",G159=0),"Não calculado – denominador ausente",IF(Base_Denominadores!$J29&lt;&gt;"OK","Não avaliável – denominador incoerente (ver auditoria)",IF(OR(Base_SINISA_Esgoto!$R29="Inconsistente – residencial&gt;total",Base_SINISA_Esgoto!$S29="Inconsistente – residencial&gt;total"),"Calculado com ressalva grave – inconsistência residencial/total na fonte",IF(COUNTBLANK(Base_SINISA_Esgoto!G29:J29)&gt;0,"Calculado com ressalva – parcela ausente = zero","Calculado")))))</f>
        <v>Não calculado – denominador ausente</v>
      </c>
      <c r="J159" s="13" t="str">
        <f t="shared" si="8"/>
        <v>Não</v>
      </c>
      <c r="K159" s="13" t="str">
        <f t="shared" si="9"/>
        <v>Sol. alternativa p/ não residenciais: sem campo no SINISA, computado como zero.</v>
      </c>
    </row>
    <row r="160" spans="1:11" ht="15" customHeight="1" x14ac:dyDescent="0.35">
      <c r="A160" s="12" t="s">
        <v>138</v>
      </c>
      <c r="B160" s="12">
        <f>Base_SINISA_Esgoto!G30+Base_SINISA_Esgoto!H30</f>
        <v>3210</v>
      </c>
      <c r="C160" s="13">
        <f>Base_SINISA_Esgoto!I30</f>
        <v>0</v>
      </c>
      <c r="D160" s="13">
        <f>Base_SINISA_Esgoto!J30</f>
        <v>0</v>
      </c>
      <c r="E160" s="13">
        <f>Sol_Alternativas!P30+Sol_Alternativas!Q30</f>
        <v>0</v>
      </c>
      <c r="F160" s="13">
        <f t="shared" si="7"/>
        <v>3210</v>
      </c>
      <c r="G160" s="13">
        <f>Base_Denominadores!F30</f>
        <v>4000</v>
      </c>
      <c r="H160" s="21" t="str">
        <f>IF(Base_SINISA_Esgoto!$C30="Ausente","n.c.",IF(OR(G160="",G160=0),"n.c.",IF(Base_Denominadores!$J30&lt;&gt;"OK","n.c.",F160/G160)))</f>
        <v>n.c.</v>
      </c>
      <c r="I160" s="13" t="str">
        <f>IF(Base_SINISA_Esgoto!$C30="Ausente","Insatisfatório – prestador ausente",IF(OR(G160="",G160=0),"Não calculado – denominador ausente",IF(Base_Denominadores!$J30&lt;&gt;"OK","Não avaliável – denominador incoerente (ver auditoria)",IF(OR(Base_SINISA_Esgoto!$R30="Inconsistente – residencial&gt;total",Base_SINISA_Esgoto!$S30="Inconsistente – residencial&gt;total"),"Calculado com ressalva grave – inconsistência residencial/total na fonte",IF(COUNTBLANK(Base_SINISA_Esgoto!G30:J30)&gt;0,"Calculado com ressalva – parcela ausente = zero","Calculado")))))</f>
        <v>Não avaliável – denominador incoerente (ver auditoria)</v>
      </c>
      <c r="J160" s="13" t="str">
        <f t="shared" si="8"/>
        <v>Não</v>
      </c>
      <c r="K160" s="13" t="str">
        <f t="shared" si="9"/>
        <v>Sol. alternativa p/ não residenciais: sem campo no SINISA, computado como zero.</v>
      </c>
    </row>
    <row r="161" spans="1:11" ht="15" customHeight="1" x14ac:dyDescent="0.35">
      <c r="A161" s="12" t="s">
        <v>139</v>
      </c>
      <c r="B161" s="12">
        <f>Base_SINISA_Esgoto!G31+Base_SINISA_Esgoto!H31</f>
        <v>0</v>
      </c>
      <c r="C161" s="13">
        <f>Base_SINISA_Esgoto!I31</f>
        <v>0</v>
      </c>
      <c r="D161" s="13">
        <f>Base_SINISA_Esgoto!J31</f>
        <v>0</v>
      </c>
      <c r="E161" s="13">
        <f>Sol_Alternativas!P31+Sol_Alternativas!Q31</f>
        <v>0</v>
      </c>
      <c r="F161" s="13">
        <f t="shared" si="7"/>
        <v>0</v>
      </c>
      <c r="G161" s="13">
        <f>Base_Denominadores!F31</f>
        <v>0</v>
      </c>
      <c r="H161" s="21" t="str">
        <f>IF(Base_SINISA_Esgoto!$C31="Ausente","n.c.",IF(OR(G161="",G161=0),"n.c.",IF(Base_Denominadores!$J31&lt;&gt;"OK","n.c.",F161/G161)))</f>
        <v>n.c.</v>
      </c>
      <c r="I161" s="13" t="str">
        <f>IF(Base_SINISA_Esgoto!$C31="Ausente","Insatisfatório – prestador ausente",IF(OR(G161="",G161=0),"Não calculado – denominador ausente",IF(Base_Denominadores!$J31&lt;&gt;"OK","Não avaliável – denominador incoerente (ver auditoria)",IF(OR(Base_SINISA_Esgoto!$R31="Inconsistente – residencial&gt;total",Base_SINISA_Esgoto!$S31="Inconsistente – residencial&gt;total"),"Calculado com ressalva grave – inconsistência residencial/total na fonte",IF(COUNTBLANK(Base_SINISA_Esgoto!G31:J31)&gt;0,"Calculado com ressalva – parcela ausente = zero","Calculado")))))</f>
        <v>Não calculado – denominador ausente</v>
      </c>
      <c r="J161" s="13" t="str">
        <f t="shared" si="8"/>
        <v>Não</v>
      </c>
      <c r="K161" s="13" t="str">
        <f t="shared" si="9"/>
        <v>Sol. alternativa p/ não residenciais: sem campo no SINISA, computado como zero.</v>
      </c>
    </row>
    <row r="162" spans="1:11" ht="15" customHeight="1" x14ac:dyDescent="0.35">
      <c r="A162" s="12" t="s">
        <v>141</v>
      </c>
      <c r="B162" s="12">
        <f>Base_SINISA_Esgoto!G32+Base_SINISA_Esgoto!H32</f>
        <v>0</v>
      </c>
      <c r="C162" s="13">
        <f>Base_SINISA_Esgoto!I32</f>
        <v>0</v>
      </c>
      <c r="D162" s="13">
        <f>Base_SINISA_Esgoto!J32</f>
        <v>0</v>
      </c>
      <c r="E162" s="13">
        <f>Sol_Alternativas!P32+Sol_Alternativas!Q32</f>
        <v>0</v>
      </c>
      <c r="F162" s="13">
        <f t="shared" si="7"/>
        <v>0</v>
      </c>
      <c r="G162" s="13">
        <f>Base_Denominadores!F32</f>
        <v>0</v>
      </c>
      <c r="H162" s="21" t="str">
        <f>IF(Base_SINISA_Esgoto!$C32="Ausente","n.c.",IF(OR(G162="",G162=0),"n.c.",IF(Base_Denominadores!$J32&lt;&gt;"OK","n.c.",F162/G162)))</f>
        <v>n.c.</v>
      </c>
      <c r="I162" s="13" t="str">
        <f>IF(Base_SINISA_Esgoto!$C32="Ausente","Insatisfatório – prestador ausente",IF(OR(G162="",G162=0),"Não calculado – denominador ausente",IF(Base_Denominadores!$J32&lt;&gt;"OK","Não avaliável – denominador incoerente (ver auditoria)",IF(OR(Base_SINISA_Esgoto!$R32="Inconsistente – residencial&gt;total",Base_SINISA_Esgoto!$S32="Inconsistente – residencial&gt;total"),"Calculado com ressalva grave – inconsistência residencial/total na fonte",IF(COUNTBLANK(Base_SINISA_Esgoto!G32:J32)&gt;0,"Calculado com ressalva – parcela ausente = zero","Calculado")))))</f>
        <v>Não calculado – denominador ausente</v>
      </c>
      <c r="J162" s="13" t="str">
        <f t="shared" si="8"/>
        <v>Não</v>
      </c>
      <c r="K162" s="13" t="str">
        <f t="shared" si="9"/>
        <v>Sol. alternativa p/ não residenciais: sem campo no SINISA, computado como zero.</v>
      </c>
    </row>
    <row r="163" spans="1:11" ht="15" customHeight="1" x14ac:dyDescent="0.35">
      <c r="A163" s="12" t="s">
        <v>142</v>
      </c>
      <c r="B163" s="12">
        <f>Base_SINISA_Esgoto!G33+Base_SINISA_Esgoto!H33</f>
        <v>0</v>
      </c>
      <c r="C163" s="13">
        <f>Base_SINISA_Esgoto!I33</f>
        <v>0</v>
      </c>
      <c r="D163" s="13">
        <f>Base_SINISA_Esgoto!J33</f>
        <v>0</v>
      </c>
      <c r="E163" s="13">
        <f>Sol_Alternativas!P33+Sol_Alternativas!Q33</f>
        <v>0</v>
      </c>
      <c r="F163" s="13">
        <f t="shared" si="7"/>
        <v>0</v>
      </c>
      <c r="G163" s="13">
        <f>Base_Denominadores!F33</f>
        <v>0</v>
      </c>
      <c r="H163" s="21" t="str">
        <f>IF(Base_SINISA_Esgoto!$C33="Ausente","n.c.",IF(OR(G163="",G163=0),"n.c.",IF(Base_Denominadores!$J33&lt;&gt;"OK","n.c.",F163/G163)))</f>
        <v>n.c.</v>
      </c>
      <c r="I163" s="13" t="str">
        <f>IF(Base_SINISA_Esgoto!$C33="Ausente","Insatisfatório – prestador ausente",IF(OR(G163="",G163=0),"Não calculado – denominador ausente",IF(Base_Denominadores!$J33&lt;&gt;"OK","Não avaliável – denominador incoerente (ver auditoria)",IF(OR(Base_SINISA_Esgoto!$R33="Inconsistente – residencial&gt;total",Base_SINISA_Esgoto!$S33="Inconsistente – residencial&gt;total"),"Calculado com ressalva grave – inconsistência residencial/total na fonte",IF(COUNTBLANK(Base_SINISA_Esgoto!G33:J33)&gt;0,"Calculado com ressalva – parcela ausente = zero","Calculado")))))</f>
        <v>Não calculado – denominador ausente</v>
      </c>
      <c r="J163" s="13" t="str">
        <f t="shared" si="8"/>
        <v>Não</v>
      </c>
      <c r="K163" s="13" t="str">
        <f t="shared" si="9"/>
        <v>Sol. alternativa p/ não residenciais: sem campo no SINISA, computado como zero.</v>
      </c>
    </row>
    <row r="164" spans="1:11" ht="15" customHeight="1" x14ac:dyDescent="0.35">
      <c r="A164" s="12" t="s">
        <v>144</v>
      </c>
      <c r="B164" s="12">
        <f>Base_SINISA_Esgoto!G34+Base_SINISA_Esgoto!H34</f>
        <v>0</v>
      </c>
      <c r="C164" s="13">
        <f>Base_SINISA_Esgoto!I34</f>
        <v>0</v>
      </c>
      <c r="D164" s="13">
        <f>Base_SINISA_Esgoto!J34</f>
        <v>0</v>
      </c>
      <c r="E164" s="13">
        <f>Sol_Alternativas!P34+Sol_Alternativas!Q34</f>
        <v>0</v>
      </c>
      <c r="F164" s="13">
        <f t="shared" si="7"/>
        <v>0</v>
      </c>
      <c r="G164" s="13">
        <f>Base_Denominadores!F34</f>
        <v>0</v>
      </c>
      <c r="H164" s="21" t="str">
        <f>IF(Base_SINISA_Esgoto!$C34="Ausente","n.c.",IF(OR(G164="",G164=0),"n.c.",IF(Base_Denominadores!$J34&lt;&gt;"OK","n.c.",F164/G164)))</f>
        <v>n.c.</v>
      </c>
      <c r="I164" s="13" t="str">
        <f>IF(Base_SINISA_Esgoto!$C34="Ausente","Insatisfatório – prestador ausente",IF(OR(G164="",G164=0),"Não calculado – denominador ausente",IF(Base_Denominadores!$J34&lt;&gt;"OK","Não avaliável – denominador incoerente (ver auditoria)",IF(OR(Base_SINISA_Esgoto!$R34="Inconsistente – residencial&gt;total",Base_SINISA_Esgoto!$S34="Inconsistente – residencial&gt;total"),"Calculado com ressalva grave – inconsistência residencial/total na fonte",IF(COUNTBLANK(Base_SINISA_Esgoto!G34:J34)&gt;0,"Calculado com ressalva – parcela ausente = zero","Calculado")))))</f>
        <v>Insatisfatório – prestador ausente</v>
      </c>
      <c r="J164" s="13" t="str">
        <f t="shared" si="8"/>
        <v>Não</v>
      </c>
      <c r="K164" s="13" t="str">
        <f t="shared" si="9"/>
        <v>Sol. alternativa p/ não residenciais: sem campo no SINISA, computado como zero.</v>
      </c>
    </row>
    <row r="165" spans="1:11" ht="15" customHeight="1" x14ac:dyDescent="0.35">
      <c r="A165" s="12" t="s">
        <v>146</v>
      </c>
      <c r="B165" s="12">
        <f>Base_SINISA_Esgoto!G35+Base_SINISA_Esgoto!H35</f>
        <v>0</v>
      </c>
      <c r="C165" s="13">
        <f>Base_SINISA_Esgoto!I35</f>
        <v>0</v>
      </c>
      <c r="D165" s="13">
        <f>Base_SINISA_Esgoto!J35</f>
        <v>0</v>
      </c>
      <c r="E165" s="13">
        <f>Sol_Alternativas!P35+Sol_Alternativas!Q35</f>
        <v>0</v>
      </c>
      <c r="F165" s="13">
        <f t="shared" si="7"/>
        <v>0</v>
      </c>
      <c r="G165" s="13">
        <f>Base_Denominadores!F35</f>
        <v>0</v>
      </c>
      <c r="H165" s="21" t="str">
        <f>IF(Base_SINISA_Esgoto!$C35="Ausente","n.c.",IF(OR(G165="",G165=0),"n.c.",IF(Base_Denominadores!$J35&lt;&gt;"OK","n.c.",F165/G165)))</f>
        <v>n.c.</v>
      </c>
      <c r="I165" s="13" t="str">
        <f>IF(Base_SINISA_Esgoto!$C35="Ausente","Insatisfatório – prestador ausente",IF(OR(G165="",G165=0),"Não calculado – denominador ausente",IF(Base_Denominadores!$J35&lt;&gt;"OK","Não avaliável – denominador incoerente (ver auditoria)",IF(OR(Base_SINISA_Esgoto!$R35="Inconsistente – residencial&gt;total",Base_SINISA_Esgoto!$S35="Inconsistente – residencial&gt;total"),"Calculado com ressalva grave – inconsistência residencial/total na fonte",IF(COUNTBLANK(Base_SINISA_Esgoto!G35:J35)&gt;0,"Calculado com ressalva – parcela ausente = zero","Calculado")))))</f>
        <v>Insatisfatório – prestador ausente</v>
      </c>
      <c r="J165" s="13" t="str">
        <f t="shared" si="8"/>
        <v>Não</v>
      </c>
      <c r="K165" s="13" t="str">
        <f t="shared" si="9"/>
        <v>Sol. alternativa p/ não residenciais: sem campo no SINISA, computado como zero.</v>
      </c>
    </row>
    <row r="166" spans="1:11" ht="15" customHeight="1" x14ac:dyDescent="0.35">
      <c r="A166" s="12" t="s">
        <v>148</v>
      </c>
      <c r="B166" s="12">
        <f>Base_SINISA_Esgoto!G36+Base_SINISA_Esgoto!H36</f>
        <v>0</v>
      </c>
      <c r="C166" s="13">
        <f>Base_SINISA_Esgoto!I36</f>
        <v>0</v>
      </c>
      <c r="D166" s="13">
        <f>Base_SINISA_Esgoto!J36</f>
        <v>0</v>
      </c>
      <c r="E166" s="13">
        <f>Sol_Alternativas!P36+Sol_Alternativas!Q36</f>
        <v>0</v>
      </c>
      <c r="F166" s="13">
        <f t="shared" si="7"/>
        <v>0</v>
      </c>
      <c r="G166" s="13">
        <f>Base_Denominadores!F36</f>
        <v>0</v>
      </c>
      <c r="H166" s="21" t="str">
        <f>IF(Base_SINISA_Esgoto!$C36="Ausente","n.c.",IF(OR(G166="",G166=0),"n.c.",IF(Base_Denominadores!$J36&lt;&gt;"OK","n.c.",F166/G166)))</f>
        <v>n.c.</v>
      </c>
      <c r="I166" s="13" t="str">
        <f>IF(Base_SINISA_Esgoto!$C36="Ausente","Insatisfatório – prestador ausente",IF(OR(G166="",G166=0),"Não calculado – denominador ausente",IF(Base_Denominadores!$J36&lt;&gt;"OK","Não avaliável – denominador incoerente (ver auditoria)",IF(OR(Base_SINISA_Esgoto!$R36="Inconsistente – residencial&gt;total",Base_SINISA_Esgoto!$S36="Inconsistente – residencial&gt;total"),"Calculado com ressalva grave – inconsistência residencial/total na fonte",IF(COUNTBLANK(Base_SINISA_Esgoto!G36:J36)&gt;0,"Calculado com ressalva – parcela ausente = zero","Calculado")))))</f>
        <v>Não calculado – denominador ausente</v>
      </c>
      <c r="J166" s="13" t="str">
        <f t="shared" si="8"/>
        <v>Não</v>
      </c>
      <c r="K166" s="13" t="str">
        <f t="shared" si="9"/>
        <v>Sol. alternativa p/ não residenciais: sem campo no SINISA, computado como zero.</v>
      </c>
    </row>
    <row r="167" spans="1:11" ht="15" customHeight="1" x14ac:dyDescent="0.35">
      <c r="A167" s="12" t="s">
        <v>149</v>
      </c>
      <c r="B167" s="12">
        <f>Base_SINISA_Esgoto!G37+Base_SINISA_Esgoto!H37</f>
        <v>867</v>
      </c>
      <c r="C167" s="13">
        <f>Base_SINISA_Esgoto!I37</f>
        <v>5</v>
      </c>
      <c r="D167" s="13">
        <f>Base_SINISA_Esgoto!J37</f>
        <v>113</v>
      </c>
      <c r="E167" s="13">
        <f>Sol_Alternativas!P37+Sol_Alternativas!Q37</f>
        <v>0</v>
      </c>
      <c r="F167" s="13">
        <f t="shared" si="7"/>
        <v>985</v>
      </c>
      <c r="G167" s="13">
        <f>Base_Denominadores!F37</f>
        <v>957</v>
      </c>
      <c r="H167" s="21" t="str">
        <f>IF(Base_SINISA_Esgoto!$C37="Ausente","n.c.",IF(OR(G167="",G167=0),"n.c.",IF(Base_Denominadores!$J37&lt;&gt;"OK","n.c.",F167/G167)))</f>
        <v>n.c.</v>
      </c>
      <c r="I167" s="13" t="str">
        <f>IF(Base_SINISA_Esgoto!$C37="Ausente","Insatisfatório – prestador ausente",IF(OR(G167="",G167=0),"Não calculado – denominador ausente",IF(Base_Denominadores!$J37&lt;&gt;"OK","Não avaliável – denominador incoerente (ver auditoria)",IF(OR(Base_SINISA_Esgoto!$R37="Inconsistente – residencial&gt;total",Base_SINISA_Esgoto!$S37="Inconsistente – residencial&gt;total"),"Calculado com ressalva grave – inconsistência residencial/total na fonte",IF(COUNTBLANK(Base_SINISA_Esgoto!G37:J37)&gt;0,"Calculado com ressalva – parcela ausente = zero","Calculado")))))</f>
        <v>Não avaliável – denominador incoerente (ver auditoria)</v>
      </c>
      <c r="J167" s="13" t="str">
        <f t="shared" si="8"/>
        <v>Não</v>
      </c>
      <c r="K167" s="13" t="str">
        <f t="shared" si="9"/>
        <v>Sol. alternativa p/ não residenciais: sem campo no SINISA, computado como zero.</v>
      </c>
    </row>
    <row r="168" spans="1:11" ht="15" customHeight="1" x14ac:dyDescent="0.35">
      <c r="A168" s="12" t="s">
        <v>150</v>
      </c>
      <c r="B168" s="12">
        <f>Base_SINISA_Esgoto!G38+Base_SINISA_Esgoto!H38</f>
        <v>590</v>
      </c>
      <c r="C168" s="13">
        <f>Base_SINISA_Esgoto!I38</f>
        <v>83</v>
      </c>
      <c r="D168" s="13">
        <f>Base_SINISA_Esgoto!J38</f>
        <v>81</v>
      </c>
      <c r="E168" s="13">
        <f>Sol_Alternativas!P38+Sol_Alternativas!Q38</f>
        <v>0</v>
      </c>
      <c r="F168" s="13">
        <f t="shared" si="7"/>
        <v>754</v>
      </c>
      <c r="G168" s="13">
        <f>Base_Denominadores!F38</f>
        <v>40375</v>
      </c>
      <c r="H168" s="21">
        <f>IF(Base_SINISA_Esgoto!$C38="Ausente","n.c.",IF(OR(G168="",G168=0),"n.c.",IF(Base_Denominadores!$J38&lt;&gt;"OK","n.c.",F168/G168)))</f>
        <v>1.8674922600619193E-2</v>
      </c>
      <c r="I168" s="13" t="str">
        <f>IF(Base_SINISA_Esgoto!$C38="Ausente","Insatisfatório – prestador ausente",IF(OR(G168="",G168=0),"Não calculado – denominador ausente",IF(Base_Denominadores!$J38&lt;&gt;"OK","Não avaliável – denominador incoerente (ver auditoria)",IF(OR(Base_SINISA_Esgoto!$R38="Inconsistente – residencial&gt;total",Base_SINISA_Esgoto!$S38="Inconsistente – residencial&gt;total"),"Calculado com ressalva grave – inconsistência residencial/total na fonte",IF(COUNTBLANK(Base_SINISA_Esgoto!G38:J38)&gt;0,"Calculado com ressalva – parcela ausente = zero","Calculado")))))</f>
        <v>Calculado</v>
      </c>
      <c r="J168" s="13" t="str">
        <f t="shared" si="8"/>
        <v>Sim</v>
      </c>
      <c r="K168" s="13" t="str">
        <f t="shared" si="9"/>
        <v>Sol. alternativa p/ não residenciais: sem campo no SINISA, computado como zero.</v>
      </c>
    </row>
    <row r="169" spans="1:11" ht="15" customHeight="1" x14ac:dyDescent="0.35">
      <c r="A169" s="12" t="s">
        <v>151</v>
      </c>
      <c r="B169" s="12">
        <f>Base_SINISA_Esgoto!G39+Base_SINISA_Esgoto!H39</f>
        <v>0</v>
      </c>
      <c r="C169" s="13">
        <f>Base_SINISA_Esgoto!I39</f>
        <v>0</v>
      </c>
      <c r="D169" s="13">
        <f>Base_SINISA_Esgoto!J39</f>
        <v>0</v>
      </c>
      <c r="E169" s="13">
        <f>Sol_Alternativas!P39+Sol_Alternativas!Q39</f>
        <v>0</v>
      </c>
      <c r="F169" s="13">
        <f t="shared" si="7"/>
        <v>0</v>
      </c>
      <c r="G169" s="13">
        <f>Base_Denominadores!F39</f>
        <v>0</v>
      </c>
      <c r="H169" s="21" t="str">
        <f>IF(Base_SINISA_Esgoto!$C39="Ausente","n.c.",IF(OR(G169="",G169=0),"n.c.",IF(Base_Denominadores!$J39&lt;&gt;"OK","n.c.",F169/G169)))</f>
        <v>n.c.</v>
      </c>
      <c r="I169" s="13" t="str">
        <f>IF(Base_SINISA_Esgoto!$C39="Ausente","Insatisfatório – prestador ausente",IF(OR(G169="",G169=0),"Não calculado – denominador ausente",IF(Base_Denominadores!$J39&lt;&gt;"OK","Não avaliável – denominador incoerente (ver auditoria)",IF(OR(Base_SINISA_Esgoto!$R39="Inconsistente – residencial&gt;total",Base_SINISA_Esgoto!$S39="Inconsistente – residencial&gt;total"),"Calculado com ressalva grave – inconsistência residencial/total na fonte",IF(COUNTBLANK(Base_SINISA_Esgoto!G39:J39)&gt;0,"Calculado com ressalva – parcela ausente = zero","Calculado")))))</f>
        <v>Não calculado – denominador ausente</v>
      </c>
      <c r="J169" s="13" t="str">
        <f t="shared" si="8"/>
        <v>Não</v>
      </c>
      <c r="K169" s="13" t="str">
        <f t="shared" si="9"/>
        <v>Sol. alternativa p/ não residenciais: sem campo no SINISA, computado como zero.</v>
      </c>
    </row>
    <row r="170" spans="1:11" ht="15" customHeight="1" x14ac:dyDescent="0.35">
      <c r="A170" s="12" t="s">
        <v>153</v>
      </c>
      <c r="B170" s="12">
        <f>Base_SINISA_Esgoto!G40+Base_SINISA_Esgoto!H40</f>
        <v>0</v>
      </c>
      <c r="C170" s="13">
        <f>Base_SINISA_Esgoto!I40</f>
        <v>0</v>
      </c>
      <c r="D170" s="13">
        <f>Base_SINISA_Esgoto!J40</f>
        <v>0</v>
      </c>
      <c r="E170" s="13">
        <f>Sol_Alternativas!P40+Sol_Alternativas!Q40</f>
        <v>0</v>
      </c>
      <c r="F170" s="13">
        <f t="shared" si="7"/>
        <v>0</v>
      </c>
      <c r="G170" s="13">
        <f>Base_Denominadores!F40</f>
        <v>0</v>
      </c>
      <c r="H170" s="21" t="str">
        <f>IF(Base_SINISA_Esgoto!$C40="Ausente","n.c.",IF(OR(G170="",G170=0),"n.c.",IF(Base_Denominadores!$J40&lt;&gt;"OK","n.c.",F170/G170)))</f>
        <v>n.c.</v>
      </c>
      <c r="I170" s="13" t="str">
        <f>IF(Base_SINISA_Esgoto!$C40="Ausente","Insatisfatório – prestador ausente",IF(OR(G170="",G170=0),"Não calculado – denominador ausente",IF(Base_Denominadores!$J40&lt;&gt;"OK","Não avaliável – denominador incoerente (ver auditoria)",IF(OR(Base_SINISA_Esgoto!$R40="Inconsistente – residencial&gt;total",Base_SINISA_Esgoto!$S40="Inconsistente – residencial&gt;total"),"Calculado com ressalva grave – inconsistência residencial/total na fonte",IF(COUNTBLANK(Base_SINISA_Esgoto!G40:J40)&gt;0,"Calculado com ressalva – parcela ausente = zero","Calculado")))))</f>
        <v>Não calculado – denominador ausente</v>
      </c>
      <c r="J170" s="13" t="str">
        <f t="shared" si="8"/>
        <v>Não</v>
      </c>
      <c r="K170" s="13" t="str">
        <f t="shared" si="9"/>
        <v>Sol. alternativa p/ não residenciais: sem campo no SINISA, computado como zero.</v>
      </c>
    </row>
    <row r="171" spans="1:11" ht="15" customHeight="1" x14ac:dyDescent="0.35">
      <c r="A171" s="12" t="s">
        <v>155</v>
      </c>
      <c r="B171" s="12">
        <f>Base_SINISA_Esgoto!G41+Base_SINISA_Esgoto!H41</f>
        <v>0</v>
      </c>
      <c r="C171" s="13">
        <f>Base_SINISA_Esgoto!I41</f>
        <v>0</v>
      </c>
      <c r="D171" s="13">
        <f>Base_SINISA_Esgoto!J41</f>
        <v>0</v>
      </c>
      <c r="E171" s="13">
        <f>Sol_Alternativas!P41+Sol_Alternativas!Q41</f>
        <v>0</v>
      </c>
      <c r="F171" s="13">
        <f t="shared" si="7"/>
        <v>0</v>
      </c>
      <c r="G171" s="13">
        <f>Base_Denominadores!F41</f>
        <v>0</v>
      </c>
      <c r="H171" s="21" t="str">
        <f>IF(Base_SINISA_Esgoto!$C41="Ausente","n.c.",IF(OR(G171="",G171=0),"n.c.",IF(Base_Denominadores!$J41&lt;&gt;"OK","n.c.",F171/G171)))</f>
        <v>n.c.</v>
      </c>
      <c r="I171" s="13" t="str">
        <f>IF(Base_SINISA_Esgoto!$C41="Ausente","Insatisfatório – prestador ausente",IF(OR(G171="",G171=0),"Não calculado – denominador ausente",IF(Base_Denominadores!$J41&lt;&gt;"OK","Não avaliável – denominador incoerente (ver auditoria)",IF(OR(Base_SINISA_Esgoto!$R41="Inconsistente – residencial&gt;total",Base_SINISA_Esgoto!$S41="Inconsistente – residencial&gt;total"),"Calculado com ressalva grave – inconsistência residencial/total na fonte",IF(COUNTBLANK(Base_SINISA_Esgoto!G41:J41)&gt;0,"Calculado com ressalva – parcela ausente = zero","Calculado")))))</f>
        <v>Não calculado – denominador ausente</v>
      </c>
      <c r="J171" s="13" t="str">
        <f t="shared" si="8"/>
        <v>Não</v>
      </c>
      <c r="K171" s="13" t="str">
        <f t="shared" si="9"/>
        <v>Sol. alternativa p/ não residenciais: sem campo no SINISA, computado como zero.</v>
      </c>
    </row>
    <row r="172" spans="1:11" ht="15" customHeight="1" x14ac:dyDescent="0.35">
      <c r="A172" s="12" t="s">
        <v>157</v>
      </c>
      <c r="B172" s="12">
        <f>Base_SINISA_Esgoto!G42+Base_SINISA_Esgoto!H42</f>
        <v>0</v>
      </c>
      <c r="C172" s="13">
        <f>Base_SINISA_Esgoto!I42</f>
        <v>0</v>
      </c>
      <c r="D172" s="13">
        <f>Base_SINISA_Esgoto!J42</f>
        <v>0</v>
      </c>
      <c r="E172" s="13">
        <f>Sol_Alternativas!P42+Sol_Alternativas!Q42</f>
        <v>0</v>
      </c>
      <c r="F172" s="13">
        <f t="shared" si="7"/>
        <v>0</v>
      </c>
      <c r="G172" s="13">
        <f>Base_Denominadores!F42</f>
        <v>0</v>
      </c>
      <c r="H172" s="21" t="str">
        <f>IF(Base_SINISA_Esgoto!$C42="Ausente","n.c.",IF(OR(G172="",G172=0),"n.c.",IF(Base_Denominadores!$J42&lt;&gt;"OK","n.c.",F172/G172)))</f>
        <v>n.c.</v>
      </c>
      <c r="I172" s="13" t="str">
        <f>IF(Base_SINISA_Esgoto!$C42="Ausente","Insatisfatório – prestador ausente",IF(OR(G172="",G172=0),"Não calculado – denominador ausente",IF(Base_Denominadores!$J42&lt;&gt;"OK","Não avaliável – denominador incoerente (ver auditoria)",IF(OR(Base_SINISA_Esgoto!$R42="Inconsistente – residencial&gt;total",Base_SINISA_Esgoto!$S42="Inconsistente – residencial&gt;total"),"Calculado com ressalva grave – inconsistência residencial/total na fonte",IF(COUNTBLANK(Base_SINISA_Esgoto!G42:J42)&gt;0,"Calculado com ressalva – parcela ausente = zero","Calculado")))))</f>
        <v>Não calculado – denominador ausente</v>
      </c>
      <c r="J172" s="13" t="str">
        <f t="shared" si="8"/>
        <v>Não</v>
      </c>
      <c r="K172" s="13" t="str">
        <f t="shared" si="9"/>
        <v>Sol. alternativa p/ não residenciais: sem campo no SINISA, computado como zero.</v>
      </c>
    </row>
  </sheetData>
  <mergeCells count="4">
    <mergeCell ref="A2:K2"/>
    <mergeCell ref="A45:K45"/>
    <mergeCell ref="A88:K88"/>
    <mergeCell ref="A131:K131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H51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328125" defaultRowHeight="14.5" x14ac:dyDescent="0.35"/>
  <cols>
    <col min="1" max="1" width="10" customWidth="1"/>
    <col min="2" max="2" width="22" customWidth="1"/>
    <col min="3" max="16" width="14" customWidth="1"/>
    <col min="17" max="17" width="29.90625" bestFit="1" customWidth="1"/>
    <col min="18" max="20" width="14" customWidth="1"/>
    <col min="21" max="21" width="38.1796875" bestFit="1" customWidth="1"/>
    <col min="22" max="24" width="14" customWidth="1"/>
    <col min="25" max="25" width="38.1796875" bestFit="1" customWidth="1"/>
    <col min="26" max="28" width="17" customWidth="1"/>
    <col min="29" max="29" width="26" customWidth="1"/>
    <col min="34" max="34" width="29.90625" bestFit="1" customWidth="1"/>
  </cols>
  <sheetData>
    <row r="1" spans="1:34" ht="17.25" customHeight="1" x14ac:dyDescent="0.4">
      <c r="A1" s="6" t="s">
        <v>357</v>
      </c>
    </row>
    <row r="2" spans="1:34" ht="45.75" customHeight="1" x14ac:dyDescent="0.35">
      <c r="A2" s="11" t="s">
        <v>63</v>
      </c>
      <c r="B2" s="11" t="s">
        <v>64</v>
      </c>
      <c r="C2" s="11" t="s">
        <v>358</v>
      </c>
      <c r="D2" s="11" t="s">
        <v>76</v>
      </c>
      <c r="E2" s="11" t="s">
        <v>78</v>
      </c>
      <c r="F2" s="11" t="s">
        <v>79</v>
      </c>
      <c r="G2" s="11" t="s">
        <v>77</v>
      </c>
      <c r="H2" s="11" t="s">
        <v>359</v>
      </c>
      <c r="I2" s="11" t="s">
        <v>360</v>
      </c>
      <c r="J2" s="11" t="s">
        <v>361</v>
      </c>
      <c r="K2" s="11" t="s">
        <v>362</v>
      </c>
      <c r="L2" s="11" t="s">
        <v>84</v>
      </c>
      <c r="M2" s="11" t="s">
        <v>87</v>
      </c>
      <c r="N2" s="11" t="s">
        <v>363</v>
      </c>
      <c r="O2" s="11" t="s">
        <v>364</v>
      </c>
      <c r="P2" s="11" t="s">
        <v>365</v>
      </c>
      <c r="Q2" s="11" t="s">
        <v>366</v>
      </c>
      <c r="R2" s="11" t="s">
        <v>367</v>
      </c>
      <c r="S2" s="11" t="s">
        <v>368</v>
      </c>
      <c r="T2" s="11" t="s">
        <v>369</v>
      </c>
      <c r="U2" s="11" t="s">
        <v>370</v>
      </c>
      <c r="V2" s="11" t="s">
        <v>371</v>
      </c>
      <c r="W2" s="11" t="s">
        <v>368</v>
      </c>
      <c r="X2" s="11" t="s">
        <v>372</v>
      </c>
      <c r="Y2" s="11" t="s">
        <v>373</v>
      </c>
      <c r="Z2" s="11" t="s">
        <v>168</v>
      </c>
      <c r="AA2" s="11" t="s">
        <v>169</v>
      </c>
      <c r="AB2" s="11" t="s">
        <v>374</v>
      </c>
      <c r="AC2" s="11" t="s">
        <v>375</v>
      </c>
      <c r="AD2" s="11" t="s">
        <v>376</v>
      </c>
      <c r="AE2" s="11" t="s">
        <v>377</v>
      </c>
      <c r="AF2" s="11" t="s">
        <v>378</v>
      </c>
      <c r="AG2" s="11" t="s">
        <v>379</v>
      </c>
      <c r="AH2" s="11" t="s">
        <v>380</v>
      </c>
    </row>
    <row r="3" spans="1:34" ht="15" customHeight="1" x14ac:dyDescent="0.35">
      <c r="A3" s="12">
        <v>3100302</v>
      </c>
      <c r="B3" s="12" t="s">
        <v>94</v>
      </c>
      <c r="C3" s="13">
        <f>Base_SINISA_Agua!M3</f>
        <v>793.73</v>
      </c>
      <c r="D3" s="13">
        <f>Base_SINISA_Agua!N3</f>
        <v>0</v>
      </c>
      <c r="E3" s="13">
        <f>Base_SINISA_Agua!P3</f>
        <v>0</v>
      </c>
      <c r="F3" s="13">
        <f>Base_SINISA_Agua!Q3</f>
        <v>462.65</v>
      </c>
      <c r="G3" s="13">
        <f>Base_SINISA_Agua!O3</f>
        <v>0</v>
      </c>
      <c r="H3" s="13">
        <f>Base_SINISA_Agua!K3</f>
        <v>3472</v>
      </c>
      <c r="I3" s="13">
        <f>IF(Base_SINISA_2023!C3="Ausente","",Base_SINISA_2023!E3)</f>
        <v>3314</v>
      </c>
      <c r="J3" s="26">
        <f>IF(Base_SINISA_Agua!$C3="Ausente","n.c.",IF(I3="","n.c.",IF(H3="","n.c.",IF(C3="","n.c.",IF(H3+I3=0,"n.c.",(C3+N(D3)-N(E3)-N(F3)-N(G3))*1000000/(((H3+I3)/2)*365))))))</f>
        <v>267.33524702348512</v>
      </c>
      <c r="K3" s="13" t="str">
        <f>IF(Base_SINISA_Agua!$C3="Ausente","Insatisfatório (nota 5)",IF(C3="","Insatisfatório – vol. produzido ausente",IF(I3="","Não calculado – falta ano-1 (nota 1)",IF(OR(D3="",E3="",F3="",G3=""),"Ressalva – parcela ausente = zero (nota 4)","Calculado"))))</f>
        <v>Calculado</v>
      </c>
      <c r="L3" s="13">
        <f>Base_SINISA_Agua!V3</f>
        <v>3472</v>
      </c>
      <c r="M3" s="13">
        <f>Base_SINISA_Agua!Y3</f>
        <v>3472</v>
      </c>
      <c r="N3" s="13">
        <f>Base_SINISA_Agua!G3+Base_SINISA_Agua!H3</f>
        <v>3904</v>
      </c>
      <c r="O3" s="13">
        <f>IF(Base_SINISA_2023!C3="Ausente","",Base_SINISA_2023!F3)</f>
        <v>3722</v>
      </c>
      <c r="P3" s="27">
        <f>IF(Base_SINISA_Agua!$C3="Ausente","n.c.",IF(O3="","n.c.",IF(N3="","n.c.",IF(N3+O3=0,"n.c.",(N(L3)+N(M3))/((N3+O3)/2)))))</f>
        <v>1.8211382113821137</v>
      </c>
      <c r="Q3" s="13" t="str">
        <f>IF(Base_SINISA_Agua!$C3="Ausente","Insatisfatório (nota 5)",IF(O3="","Não calculado – falta ano-1 (nota 1)","Calculado (nota 6: &gt;100% é válido)"))</f>
        <v>Calculado (nota 6: &gt;100% é válido)</v>
      </c>
      <c r="R3" s="19"/>
      <c r="S3" s="19"/>
      <c r="T3" s="27" t="str">
        <f t="shared" ref="T3:T42" si="0">IF(OR(R3="",R3=0),"n.c.",S3/R3)</f>
        <v>n.c.</v>
      </c>
      <c r="U3" s="13" t="str">
        <f t="shared" ref="U3:U42" si="1">IF(OR(R3="",R3=0),"Insatisfatório – sem coleta no SINISA (nota 2)","Calculado")</f>
        <v>Insatisfatório – sem coleta no SINISA (nota 2)</v>
      </c>
      <c r="V3" s="19"/>
      <c r="W3" s="19"/>
      <c r="X3" s="27" t="str">
        <f t="shared" ref="X3:X42" si="2">IF(OR(V3="",V3=0),"n.c.",W3/V3)</f>
        <v>n.c.</v>
      </c>
      <c r="Y3" s="13" t="str">
        <f t="shared" ref="Y3:Y42" si="3">IF(OR(V3="",V3=0),"Insatisfatório – sem coleta no SINISA (nota 2)","Calculado")</f>
        <v>Insatisfatório – sem coleta no SINISA (nota 2)</v>
      </c>
      <c r="Z3" s="13">
        <f>Base_SINISA_Esgoto!M3</f>
        <v>30</v>
      </c>
      <c r="AA3" s="13">
        <f>Base_SINISA_Esgoto!N3</f>
        <v>4</v>
      </c>
      <c r="AB3" s="28">
        <f t="shared" ref="AB3:AB42" si="4">IF(OR(Z3="",Z3=0),"n.c.",AA3/Z3)</f>
        <v>0.13333333333333333</v>
      </c>
      <c r="AC3" s="13" t="str">
        <f>IF(Base_SINISA_Esgoto!$C3="Ausente","Insatisfatório (nota 5)",IF(OR(Z3="",Z3=0),"Insatisfatório – sem extravasamento reparado","Calculado"))</f>
        <v>Calculado</v>
      </c>
      <c r="AD3" s="13">
        <f>Base_SINISA_Esgoto!L3</f>
        <v>30</v>
      </c>
      <c r="AE3" s="13">
        <f>Base_SINISA_Esgoto!T3</f>
        <v>79.23</v>
      </c>
      <c r="AF3" s="13">
        <f>IF(Base_SINISA_Esgoto_2023!C3="Ausente","",Base_SINISA_Esgoto_2023!E3)</f>
        <v>79.23</v>
      </c>
      <c r="AG3" s="29">
        <f>IF(Base_SINISA_Esgoto!$C3="Ausente","n.c.",IF(AE3="","n.c.",IF(AF3="","n.c.",IF(AE3+AF3=0,"n.c.",AD3/((AE3+AF3)/2)))))</f>
        <v>0.37864445285876558</v>
      </c>
      <c r="AH3" s="13" t="str">
        <f>IF(Base_SINISA_Esgoto!$C3="Ausente","Insatisfatório (nota 5)",IF(AF3="","Não calculado – falta ano-1 (nota 1)",IF(AE3="","Insatisfatório – extensão de rede 2024 ausente","Calculado")))</f>
        <v>Calculado</v>
      </c>
    </row>
    <row r="4" spans="1:34" ht="15" customHeight="1" x14ac:dyDescent="0.35">
      <c r="A4" s="12">
        <v>3100401</v>
      </c>
      <c r="B4" s="12" t="s">
        <v>97</v>
      </c>
      <c r="C4" s="13">
        <f>Base_SINISA_Agua!M4</f>
        <v>296.10000000000002</v>
      </c>
      <c r="D4" s="13">
        <f>Base_SINISA_Agua!N4</f>
        <v>0</v>
      </c>
      <c r="E4" s="13">
        <f>Base_SINISA_Agua!P4</f>
        <v>0</v>
      </c>
      <c r="F4" s="13">
        <f>Base_SINISA_Agua!Q4</f>
        <v>283.97000000000003</v>
      </c>
      <c r="G4" s="13">
        <f>Base_SINISA_Agua!O4</f>
        <v>0</v>
      </c>
      <c r="H4" s="13">
        <f>Base_SINISA_Agua!K4</f>
        <v>1206</v>
      </c>
      <c r="I4" s="13">
        <f>IF(Base_SINISA_2023!C4="Ausente","",Base_SINISA_2023!E4)</f>
        <v>2130</v>
      </c>
      <c r="J4" s="26">
        <f>IF(Base_SINISA_Agua!$C4="Ausente","n.c.",IF(I4="","n.c.",IF(H4="","n.c.",IF(C4="","n.c.",IF(H4+I4=0,"n.c.",(C4+N(D4)-N(E4)-N(F4)-N(G4))*1000000/(((H4+I4)/2)*365))))))</f>
        <v>19.923786997799017</v>
      </c>
      <c r="K4" s="13" t="str">
        <f>IF(Base_SINISA_Agua!$C4="Ausente","Insatisfatório (nota 5)",IF(C4="","Insatisfatório – vol. produzido ausente",IF(I4="","Não calculado – falta ano-1 (nota 1)",IF(OR(D4="",E4="",F4="",G4=""),"Ressalva – parcela ausente = zero (nota 4)","Calculado"))))</f>
        <v>Calculado</v>
      </c>
      <c r="L4" s="13">
        <f>Base_SINISA_Agua!V4</f>
        <v>1339</v>
      </c>
      <c r="M4" s="13">
        <f>Base_SINISA_Agua!Y4</f>
        <v>640</v>
      </c>
      <c r="N4" s="13">
        <f>Base_SINISA_Agua!G4+Base_SINISA_Agua!H4</f>
        <v>2064</v>
      </c>
      <c r="O4" s="13">
        <f>IF(Base_SINISA_2023!C4="Ausente","",Base_SINISA_2023!F4)</f>
        <v>2130</v>
      </c>
      <c r="P4" s="27">
        <f>IF(Base_SINISA_Agua!$C4="Ausente","n.c.",IF(O4="","n.c.",IF(N4="","n.c.",IF(N4+O4=0,"n.c.",(N(L4)+N(M4))/((N4+O4)/2)))))</f>
        <v>0.94372913686218407</v>
      </c>
      <c r="Q4" s="13" t="str">
        <f>IF(Base_SINISA_Agua!$C4="Ausente","Insatisfatório (nota 5)",IF(O4="","Não calculado – falta ano-1 (nota 1)","Calculado (nota 6: &gt;100% é válido)"))</f>
        <v>Calculado (nota 6: &gt;100% é válido)</v>
      </c>
      <c r="R4" s="19"/>
      <c r="S4" s="19"/>
      <c r="T4" s="27" t="str">
        <f t="shared" si="0"/>
        <v>n.c.</v>
      </c>
      <c r="U4" s="13" t="str">
        <f t="shared" si="1"/>
        <v>Insatisfatório – sem coleta no SINISA (nota 2)</v>
      </c>
      <c r="V4" s="19"/>
      <c r="W4" s="19"/>
      <c r="X4" s="27" t="str">
        <f t="shared" si="2"/>
        <v>n.c.</v>
      </c>
      <c r="Y4" s="13" t="str">
        <f t="shared" si="3"/>
        <v>Insatisfatório – sem coleta no SINISA (nota 2)</v>
      </c>
      <c r="Z4" s="13">
        <f>Base_SINISA_Esgoto!M4</f>
        <v>42</v>
      </c>
      <c r="AA4" s="13">
        <f>Base_SINISA_Esgoto!N4</f>
        <v>126</v>
      </c>
      <c r="AB4" s="28">
        <f t="shared" si="4"/>
        <v>3</v>
      </c>
      <c r="AC4" s="13" t="str">
        <f>IF(Base_SINISA_Esgoto!$C4="Ausente","Insatisfatório (nota 5)",IF(OR(Z4="",Z4=0),"Insatisfatório – sem extravasamento reparado","Calculado"))</f>
        <v>Calculado</v>
      </c>
      <c r="AD4" s="13">
        <f>Base_SINISA_Esgoto!L4</f>
        <v>42</v>
      </c>
      <c r="AE4" s="13">
        <f>Base_SINISA_Esgoto!T4</f>
        <v>11.03</v>
      </c>
      <c r="AF4" s="13">
        <f>IF(Base_SINISA_Esgoto_2023!C4="Ausente","",Base_SINISA_Esgoto_2023!E4)</f>
        <v>21.6</v>
      </c>
      <c r="AG4" s="29">
        <f>IF(Base_SINISA_Esgoto!$C4="Ausente","n.c.",IF(AE4="","n.c.",IF(AF4="","n.c.",IF(AE4+AF4=0,"n.c.",AD4/((AE4+AF4)/2)))))</f>
        <v>2.5743181121667176</v>
      </c>
      <c r="AH4" s="13" t="str">
        <f>IF(Base_SINISA_Esgoto!$C4="Ausente","Insatisfatório (nota 5)",IF(AF4="","Não calculado – falta ano-1 (nota 1)",IF(AE4="","Insatisfatório – extensão de rede 2024 ausente","Calculado")))</f>
        <v>Calculado</v>
      </c>
    </row>
    <row r="5" spans="1:34" ht="15" customHeight="1" x14ac:dyDescent="0.35">
      <c r="A5" s="12">
        <v>3101102</v>
      </c>
      <c r="B5" s="12" t="s">
        <v>99</v>
      </c>
      <c r="C5" s="13">
        <f>Base_SINISA_Agua!M5</f>
        <v>2982.47</v>
      </c>
      <c r="D5" s="13">
        <f>Base_SINISA_Agua!N5</f>
        <v>0</v>
      </c>
      <c r="E5" s="13">
        <f>Base_SINISA_Agua!P5</f>
        <v>328.78</v>
      </c>
      <c r="F5" s="13">
        <f>Base_SINISA_Agua!Q5</f>
        <v>2071.5700000000002</v>
      </c>
      <c r="G5" s="13">
        <f>Base_SINISA_Agua!O5</f>
        <v>0</v>
      </c>
      <c r="H5" s="13">
        <f>Base_SINISA_Agua!K5</f>
        <v>9505</v>
      </c>
      <c r="I5" s="13">
        <f>IF(Base_SINISA_2023!C5="Ausente","",Base_SINISA_2023!E5)</f>
        <v>9324</v>
      </c>
      <c r="J5" s="26">
        <f>IF(Base_SINISA_Agua!$C5="Ausente","n.c.",IF(I5="","n.c.",IF(H5="","n.c.",IF(C5="","n.c.",IF(H5+I5=0,"n.c.",(C5+N(D5)-N(E5)-N(F5)-N(G5))*1000000/(((H5+I5)/2)*365))))))</f>
        <v>169.40350683185423</v>
      </c>
      <c r="K5" s="13" t="str">
        <f>IF(Base_SINISA_Agua!$C5="Ausente","Insatisfatório (nota 5)",IF(C5="","Insatisfatório – vol. produzido ausente",IF(I5="","Não calculado – falta ano-1 (nota 1)",IF(OR(D5="",E5="",F5="",G5=""),"Ressalva – parcela ausente = zero (nota 4)","Calculado"))))</f>
        <v>Calculado</v>
      </c>
      <c r="L5" s="13">
        <f>Base_SINISA_Agua!V5</f>
        <v>5000</v>
      </c>
      <c r="M5" s="13">
        <f>Base_SINISA_Agua!Y5</f>
        <v>0</v>
      </c>
      <c r="N5" s="13">
        <f>Base_SINISA_Agua!G5+Base_SINISA_Agua!H5</f>
        <v>9789</v>
      </c>
      <c r="O5" s="13">
        <f>IF(Base_SINISA_2023!C5="Ausente","",Base_SINISA_2023!F5)</f>
        <v>9601</v>
      </c>
      <c r="P5" s="27">
        <f>IF(Base_SINISA_Agua!$C5="Ausente","n.c.",IF(O5="","n.c.",IF(N5="","n.c.",IF(N5+O5=0,"n.c.",(N(L5)+N(M5))/((N5+O5)/2)))))</f>
        <v>0.51572975760701389</v>
      </c>
      <c r="Q5" s="13" t="str">
        <f>IF(Base_SINISA_Agua!$C5="Ausente","Insatisfatório (nota 5)",IF(O5="","Não calculado – falta ano-1 (nota 1)","Calculado (nota 6: &gt;100% é válido)"))</f>
        <v>Calculado (nota 6: &gt;100% é válido)</v>
      </c>
      <c r="R5" s="19"/>
      <c r="S5" s="19"/>
      <c r="T5" s="27" t="str">
        <f t="shared" si="0"/>
        <v>n.c.</v>
      </c>
      <c r="U5" s="13" t="str">
        <f t="shared" si="1"/>
        <v>Insatisfatório – sem coleta no SINISA (nota 2)</v>
      </c>
      <c r="V5" s="19"/>
      <c r="W5" s="19"/>
      <c r="X5" s="27" t="str">
        <f t="shared" si="2"/>
        <v>n.c.</v>
      </c>
      <c r="Y5" s="13" t="str">
        <f t="shared" si="3"/>
        <v>Insatisfatório – sem coleta no SINISA (nota 2)</v>
      </c>
      <c r="Z5" s="13">
        <f>Base_SINISA_Esgoto!M5</f>
        <v>12</v>
      </c>
      <c r="AA5" s="13">
        <f>Base_SINISA_Esgoto!N5</f>
        <v>86</v>
      </c>
      <c r="AB5" s="28">
        <f t="shared" si="4"/>
        <v>7.166666666666667</v>
      </c>
      <c r="AC5" s="13" t="str">
        <f>IF(Base_SINISA_Esgoto!$C5="Ausente","Insatisfatório (nota 5)",IF(OR(Z5="",Z5=0),"Insatisfatório – sem extravasamento reparado","Calculado"))</f>
        <v>Calculado</v>
      </c>
      <c r="AD5" s="13">
        <f>Base_SINISA_Esgoto!L5</f>
        <v>12</v>
      </c>
      <c r="AE5" s="13">
        <f>Base_SINISA_Esgoto!T5</f>
        <v>104</v>
      </c>
      <c r="AF5" s="13">
        <f>IF(Base_SINISA_Esgoto_2023!C5="Ausente","",Base_SINISA_Esgoto_2023!E5)</f>
        <v>104</v>
      </c>
      <c r="AG5" s="29">
        <f>IF(Base_SINISA_Esgoto!$C5="Ausente","n.c.",IF(AE5="","n.c.",IF(AF5="","n.c.",IF(AE5+AF5=0,"n.c.",AD5/((AE5+AF5)/2)))))</f>
        <v>0.11538461538461539</v>
      </c>
      <c r="AH5" s="13" t="str">
        <f>IF(Base_SINISA_Esgoto!$C5="Ausente","Insatisfatório (nota 5)",IF(AF5="","Não calculado – falta ano-1 (nota 1)",IF(AE5="","Insatisfatório – extensão de rede 2024 ausente","Calculado")))</f>
        <v>Calculado</v>
      </c>
    </row>
    <row r="6" spans="1:34" ht="15" customHeight="1" x14ac:dyDescent="0.35">
      <c r="A6" s="12">
        <v>3108701</v>
      </c>
      <c r="B6" s="12" t="s">
        <v>100</v>
      </c>
      <c r="C6" s="13">
        <f>Base_SINISA_Agua!M6</f>
        <v>157.68</v>
      </c>
      <c r="D6" s="13">
        <f>Base_SINISA_Agua!N6</f>
        <v>0</v>
      </c>
      <c r="E6" s="13">
        <f>Base_SINISA_Agua!P6</f>
        <v>0</v>
      </c>
      <c r="F6" s="13">
        <f>Base_SINISA_Agua!Q6</f>
        <v>121.76</v>
      </c>
      <c r="G6" s="13">
        <f>Base_SINISA_Agua!O6</f>
        <v>0</v>
      </c>
      <c r="H6" s="13">
        <f>Base_SINISA_Agua!K6</f>
        <v>1073</v>
      </c>
      <c r="I6" s="13">
        <f>IF(Base_SINISA_2023!C6="Ausente","",Base_SINISA_2023!E6)</f>
        <v>1073</v>
      </c>
      <c r="J6" s="26">
        <f>IF(Base_SINISA_Agua!$C6="Ausente","n.c.",IF(I6="","n.c.",IF(H6="","n.c.",IF(C6="","n.c.",IF(H6+I6=0,"n.c.",(C6+N(D6)-N(E6)-N(F6)-N(G6))*1000000/(((H6+I6)/2)*365))))))</f>
        <v>91.715711933000549</v>
      </c>
      <c r="K6" s="13" t="str">
        <f>IF(Base_SINISA_Agua!$C6="Ausente","Insatisfatório (nota 5)",IF(C6="","Insatisfatório – vol. produzido ausente",IF(I6="","Não calculado – falta ano-1 (nota 1)",IF(OR(D6="",E6="",F6="",G6=""),"Ressalva – parcela ausente = zero (nota 4)","Calculado"))))</f>
        <v>Calculado</v>
      </c>
      <c r="L6" s="13">
        <f>Base_SINISA_Agua!V6</f>
        <v>250</v>
      </c>
      <c r="M6" s="13">
        <f>Base_SINISA_Agua!Y6</f>
        <v>0</v>
      </c>
      <c r="N6" s="13">
        <f>Base_SINISA_Agua!G6+Base_SINISA_Agua!H6</f>
        <v>1073</v>
      </c>
      <c r="O6" s="13">
        <f>IF(Base_SINISA_2023!C6="Ausente","",Base_SINISA_2023!F6)</f>
        <v>1073</v>
      </c>
      <c r="P6" s="27">
        <f>IF(Base_SINISA_Agua!$C6="Ausente","n.c.",IF(O6="","n.c.",IF(N6="","n.c.",IF(N6+O6=0,"n.c.",(N(L6)+N(M6))/((N6+O6)/2)))))</f>
        <v>0.23299161230195714</v>
      </c>
      <c r="Q6" s="13" t="str">
        <f>IF(Base_SINISA_Agua!$C6="Ausente","Insatisfatório (nota 5)",IF(O6="","Não calculado – falta ano-1 (nota 1)","Calculado (nota 6: &gt;100% é válido)"))</f>
        <v>Calculado (nota 6: &gt;100% é válido)</v>
      </c>
      <c r="R6" s="19"/>
      <c r="S6" s="19"/>
      <c r="T6" s="27" t="str">
        <f t="shared" si="0"/>
        <v>n.c.</v>
      </c>
      <c r="U6" s="13" t="str">
        <f t="shared" si="1"/>
        <v>Insatisfatório – sem coleta no SINISA (nota 2)</v>
      </c>
      <c r="V6" s="19"/>
      <c r="W6" s="19"/>
      <c r="X6" s="27" t="str">
        <f t="shared" si="2"/>
        <v>n.c.</v>
      </c>
      <c r="Y6" s="13" t="str">
        <f t="shared" si="3"/>
        <v>Insatisfatório – sem coleta no SINISA (nota 2)</v>
      </c>
      <c r="Z6" s="13">
        <f>Base_SINISA_Esgoto!M6</f>
        <v>0</v>
      </c>
      <c r="AA6" s="13">
        <f>Base_SINISA_Esgoto!N6</f>
        <v>0</v>
      </c>
      <c r="AB6" s="28" t="str">
        <f t="shared" si="4"/>
        <v>n.c.</v>
      </c>
      <c r="AC6" s="13" t="str">
        <f>IF(Base_SINISA_Esgoto!$C6="Ausente","Insatisfatório (nota 5)",IF(OR(Z6="",Z6=0),"Insatisfatório – sem extravasamento reparado","Calculado"))</f>
        <v>Insatisfatório (nota 5)</v>
      </c>
      <c r="AD6" s="13">
        <f>Base_SINISA_Esgoto!L6</f>
        <v>0</v>
      </c>
      <c r="AE6" s="13">
        <f>Base_SINISA_Esgoto!T6</f>
        <v>0</v>
      </c>
      <c r="AF6" s="13" t="str">
        <f>IF(Base_SINISA_Esgoto_2023!C6="Ausente","",Base_SINISA_Esgoto_2023!E6)</f>
        <v/>
      </c>
      <c r="AG6" s="29" t="str">
        <f>IF(Base_SINISA_Esgoto!$C6="Ausente","n.c.",IF(AE6="","n.c.",IF(AF6="","n.c.",IF(AE6+AF6=0,"n.c.",AD6/((AE6+AF6)/2)))))</f>
        <v>n.c.</v>
      </c>
      <c r="AH6" s="13" t="str">
        <f>IF(Base_SINISA_Esgoto!$C6="Ausente","Insatisfatório (nota 5)",IF(AF6="","Não calculado – falta ano-1 (nota 1)",IF(AE6="","Insatisfatório – extensão de rede 2024 ausente","Calculado")))</f>
        <v>Insatisfatório (nota 5)</v>
      </c>
    </row>
    <row r="7" spans="1:34" ht="15" customHeight="1" x14ac:dyDescent="0.35">
      <c r="A7" s="12">
        <v>3113107</v>
      </c>
      <c r="B7" s="12" t="s">
        <v>102</v>
      </c>
      <c r="C7" s="13">
        <f>Base_SINISA_Agua!M7</f>
        <v>143.22999999999999</v>
      </c>
      <c r="D7" s="13">
        <f>Base_SINISA_Agua!N7</f>
        <v>0</v>
      </c>
      <c r="E7" s="13">
        <f>Base_SINISA_Agua!P7</f>
        <v>10</v>
      </c>
      <c r="F7" s="13">
        <f>Base_SINISA_Agua!Q7</f>
        <v>105.15</v>
      </c>
      <c r="G7" s="13">
        <f>Base_SINISA_Agua!O7</f>
        <v>0</v>
      </c>
      <c r="H7" s="13">
        <f>Base_SINISA_Agua!K7</f>
        <v>768</v>
      </c>
      <c r="I7" s="13">
        <f>IF(Base_SINISA_2023!C7="Ausente","",Base_SINISA_2023!E7)</f>
        <v>1470</v>
      </c>
      <c r="J7" s="26">
        <f>IF(Base_SINISA_Agua!$C7="Ausente","n.c.",IF(I7="","n.c.",IF(H7="","n.c.",IF(C7="","n.c.",IF(H7+I7=0,"n.c.",(C7+N(D7)-N(E7)-N(F7)-N(G7))*1000000/(((H7+I7)/2)*365))))))</f>
        <v>68.75022953468725</v>
      </c>
      <c r="K7" s="13" t="str">
        <f>IF(Base_SINISA_Agua!$C7="Ausente","Insatisfatório (nota 5)",IF(C7="","Insatisfatório – vol. produzido ausente",IF(I7="","Não calculado – falta ano-1 (nota 1)",IF(OR(D7="",E7="",F7="",G7=""),"Ressalva – parcela ausente = zero (nota 4)","Calculado"))))</f>
        <v>Calculado</v>
      </c>
      <c r="L7" s="13">
        <f>Base_SINISA_Agua!V7</f>
        <v>711</v>
      </c>
      <c r="M7" s="13">
        <f>Base_SINISA_Agua!Y7</f>
        <v>711</v>
      </c>
      <c r="N7" s="13">
        <f>Base_SINISA_Agua!G7+Base_SINISA_Agua!H7</f>
        <v>1072</v>
      </c>
      <c r="O7" s="13">
        <f>IF(Base_SINISA_2023!C7="Ausente","",Base_SINISA_2023!F7)</f>
        <v>1470</v>
      </c>
      <c r="P7" s="27">
        <f>IF(Base_SINISA_Agua!$C7="Ausente","n.c.",IF(O7="","n.c.",IF(N7="","n.c.",IF(N7+O7=0,"n.c.",(N(L7)+N(M7))/((N7+O7)/2)))))</f>
        <v>1.1188040912667192</v>
      </c>
      <c r="Q7" s="13" t="str">
        <f>IF(Base_SINISA_Agua!$C7="Ausente","Insatisfatório (nota 5)",IF(O7="","Não calculado – falta ano-1 (nota 1)","Calculado (nota 6: &gt;100% é válido)"))</f>
        <v>Calculado (nota 6: &gt;100% é válido)</v>
      </c>
      <c r="R7" s="19"/>
      <c r="S7" s="19"/>
      <c r="T7" s="27" t="str">
        <f t="shared" si="0"/>
        <v>n.c.</v>
      </c>
      <c r="U7" s="13" t="str">
        <f t="shared" si="1"/>
        <v>Insatisfatório – sem coleta no SINISA (nota 2)</v>
      </c>
      <c r="V7" s="19"/>
      <c r="W7" s="19"/>
      <c r="X7" s="27" t="str">
        <f t="shared" si="2"/>
        <v>n.c.</v>
      </c>
      <c r="Y7" s="13" t="str">
        <f t="shared" si="3"/>
        <v>Insatisfatório – sem coleta no SINISA (nota 2)</v>
      </c>
      <c r="Z7" s="13">
        <f>Base_SINISA_Esgoto!M7</f>
        <v>80</v>
      </c>
      <c r="AA7" s="13">
        <f>Base_SINISA_Esgoto!N7</f>
        <v>45</v>
      </c>
      <c r="AB7" s="28">
        <f t="shared" si="4"/>
        <v>0.5625</v>
      </c>
      <c r="AC7" s="13" t="str">
        <f>IF(Base_SINISA_Esgoto!$C7="Ausente","Insatisfatório (nota 5)",IF(OR(Z7="",Z7=0),"Insatisfatório – sem extravasamento reparado","Calculado"))</f>
        <v>Calculado</v>
      </c>
      <c r="AD7" s="13">
        <f>Base_SINISA_Esgoto!L7</f>
        <v>100</v>
      </c>
      <c r="AE7" s="13">
        <f>Base_SINISA_Esgoto!T7</f>
        <v>8</v>
      </c>
      <c r="AF7" s="13">
        <f>IF(Base_SINISA_Esgoto_2023!C7="Ausente","",Base_SINISA_Esgoto_2023!E7)</f>
        <v>10</v>
      </c>
      <c r="AG7" s="29">
        <f>IF(Base_SINISA_Esgoto!$C7="Ausente","n.c.",IF(AE7="","n.c.",IF(AF7="","n.c.",IF(AE7+AF7=0,"n.c.",AD7/((AE7+AF7)/2)))))</f>
        <v>11.111111111111111</v>
      </c>
      <c r="AH7" s="13" t="str">
        <f>IF(Base_SINISA_Esgoto!$C7="Ausente","Insatisfatório (nota 5)",IF(AF7="","Não calculado – falta ano-1 (nota 1)",IF(AE7="","Insatisfatório – extensão de rede 2024 ausente","Calculado")))</f>
        <v>Calculado</v>
      </c>
    </row>
    <row r="8" spans="1:34" ht="15" customHeight="1" x14ac:dyDescent="0.35">
      <c r="A8" s="12">
        <v>3113305</v>
      </c>
      <c r="B8" s="12" t="s">
        <v>104</v>
      </c>
      <c r="C8" s="13">
        <f>Base_SINISA_Agua!M8</f>
        <v>3169.71</v>
      </c>
      <c r="D8" s="13">
        <f>Base_SINISA_Agua!N8</f>
        <v>0</v>
      </c>
      <c r="E8" s="13">
        <f>Base_SINISA_Agua!P8</f>
        <v>121.53</v>
      </c>
      <c r="F8" s="13">
        <f>Base_SINISA_Agua!Q8</f>
        <v>1832.07</v>
      </c>
      <c r="G8" s="13">
        <f>Base_SINISA_Agua!O8</f>
        <v>0</v>
      </c>
      <c r="H8" s="13">
        <f>Base_SINISA_Agua!K8</f>
        <v>10310</v>
      </c>
      <c r="I8" s="13">
        <f>IF(Base_SINISA_2023!C8="Ausente","",Base_SINISA_2023!E8)</f>
        <v>10060</v>
      </c>
      <c r="J8" s="26">
        <f>IF(Base_SINISA_Agua!$C8="Ausente","n.c.",IF(I8="","n.c.",IF(H8="","n.c.",IF(C8="","n.c.",IF(H8+I8=0,"n.c.",(C8+N(D8)-N(E8)-N(F8)-N(G8))*1000000/(((H8+I8)/2)*365))))))</f>
        <v>327.128936590877</v>
      </c>
      <c r="K8" s="13" t="str">
        <f>IF(Base_SINISA_Agua!$C8="Ausente","Insatisfatório (nota 5)",IF(C8="","Insatisfatório – vol. produzido ausente",IF(I8="","Não calculado – falta ano-1 (nota 1)",IF(OR(D8="",E8="",F8="",G8=""),"Ressalva – parcela ausente = zero (nota 4)","Calculado"))))</f>
        <v>Calculado</v>
      </c>
      <c r="L8" s="13">
        <f>Base_SINISA_Agua!V8</f>
        <v>0</v>
      </c>
      <c r="M8" s="13">
        <f>Base_SINISA_Agua!Y8</f>
        <v>0</v>
      </c>
      <c r="N8" s="13">
        <f>Base_SINISA_Agua!G8+Base_SINISA_Agua!H8</f>
        <v>13065</v>
      </c>
      <c r="O8" s="13">
        <f>IF(Base_SINISA_2023!C8="Ausente","",Base_SINISA_2023!F8)</f>
        <v>12877</v>
      </c>
      <c r="P8" s="27">
        <f>IF(Base_SINISA_Agua!$C8="Ausente","n.c.",IF(O8="","n.c.",IF(N8="","n.c.",IF(N8+O8=0,"n.c.",(N(L8)+N(M8))/((N8+O8)/2)))))</f>
        <v>0</v>
      </c>
      <c r="Q8" s="13" t="str">
        <f>IF(Base_SINISA_Agua!$C8="Ausente","Insatisfatório (nota 5)",IF(O8="","Não calculado – falta ano-1 (nota 1)","Calculado (nota 6: &gt;100% é válido)"))</f>
        <v>Calculado (nota 6: &gt;100% é válido)</v>
      </c>
      <c r="R8" s="19"/>
      <c r="S8" s="19"/>
      <c r="T8" s="27" t="str">
        <f t="shared" si="0"/>
        <v>n.c.</v>
      </c>
      <c r="U8" s="13" t="str">
        <f t="shared" si="1"/>
        <v>Insatisfatório – sem coleta no SINISA (nota 2)</v>
      </c>
      <c r="V8" s="19"/>
      <c r="W8" s="19"/>
      <c r="X8" s="27" t="str">
        <f t="shared" si="2"/>
        <v>n.c.</v>
      </c>
      <c r="Y8" s="13" t="str">
        <f t="shared" si="3"/>
        <v>Insatisfatório – sem coleta no SINISA (nota 2)</v>
      </c>
      <c r="Z8" s="13">
        <f>Base_SINISA_Esgoto!M8</f>
        <v>479</v>
      </c>
      <c r="AA8" s="13">
        <f>Base_SINISA_Esgoto!N8</f>
        <v>27253</v>
      </c>
      <c r="AB8" s="28">
        <f t="shared" si="4"/>
        <v>56.895615866388312</v>
      </c>
      <c r="AC8" s="13" t="str">
        <f>IF(Base_SINISA_Esgoto!$C8="Ausente","Insatisfatório (nota 5)",IF(OR(Z8="",Z8=0),"Insatisfatório – sem extravasamento reparado","Calculado"))</f>
        <v>Calculado</v>
      </c>
      <c r="AD8" s="13">
        <f>Base_SINISA_Esgoto!L8</f>
        <v>479</v>
      </c>
      <c r="AE8" s="13">
        <f>Base_SINISA_Esgoto!T8</f>
        <v>47</v>
      </c>
      <c r="AF8" s="13">
        <f>IF(Base_SINISA_Esgoto_2023!C8="Ausente","",Base_SINISA_Esgoto_2023!E8)</f>
        <v>46</v>
      </c>
      <c r="AG8" s="29">
        <f>IF(Base_SINISA_Esgoto!$C8="Ausente","n.c.",IF(AE8="","n.c.",IF(AF8="","n.c.",IF(AE8+AF8=0,"n.c.",AD8/((AE8+AF8)/2)))))</f>
        <v>10.301075268817204</v>
      </c>
      <c r="AH8" s="13" t="str">
        <f>IF(Base_SINISA_Esgoto!$C8="Ausente","Insatisfatório (nota 5)",IF(AF8="","Não calculado – falta ano-1 (nota 1)",IF(AE8="","Insatisfatório – extensão de rede 2024 ausente","Calculado")))</f>
        <v>Calculado</v>
      </c>
    </row>
    <row r="9" spans="1:34" ht="15" customHeight="1" x14ac:dyDescent="0.35">
      <c r="A9" s="12">
        <v>3116001</v>
      </c>
      <c r="B9" s="12" t="s">
        <v>106</v>
      </c>
      <c r="C9" s="13">
        <f>Base_SINISA_Agua!M9</f>
        <v>0</v>
      </c>
      <c r="D9" s="13">
        <f>Base_SINISA_Agua!N9</f>
        <v>0</v>
      </c>
      <c r="E9" s="13">
        <f>Base_SINISA_Agua!P9</f>
        <v>0</v>
      </c>
      <c r="F9" s="13">
        <f>Base_SINISA_Agua!Q9</f>
        <v>0</v>
      </c>
      <c r="G9" s="13">
        <f>Base_SINISA_Agua!O9</f>
        <v>0</v>
      </c>
      <c r="H9" s="13">
        <f>Base_SINISA_Agua!K9</f>
        <v>0</v>
      </c>
      <c r="I9" s="13" t="str">
        <f>IF(Base_SINISA_2023!C9="Ausente","",Base_SINISA_2023!E9)</f>
        <v/>
      </c>
      <c r="J9" s="26" t="str">
        <f>IF(Base_SINISA_Agua!$C9="Ausente","n.c.",IF(I9="","n.c.",IF(H9="","n.c.",IF(C9="","n.c.",IF(H9+I9=0,"n.c.",(C9+N(D9)-N(E9)-N(F9)-N(G9))*1000000/(((H9+I9)/2)*365))))))</f>
        <v>n.c.</v>
      </c>
      <c r="K9" s="13" t="str">
        <f>IF(Base_SINISA_Agua!$C9="Ausente","Insatisfatório (nota 5)",IF(C9="","Insatisfatório – vol. produzido ausente",IF(I9="","Não calculado – falta ano-1 (nota 1)",IF(OR(D9="",E9="",F9="",G9=""),"Ressalva – parcela ausente = zero (nota 4)","Calculado"))))</f>
        <v>Insatisfatório (nota 5)</v>
      </c>
      <c r="L9" s="13">
        <f>Base_SINISA_Agua!V9</f>
        <v>0</v>
      </c>
      <c r="M9" s="13">
        <f>Base_SINISA_Agua!Y9</f>
        <v>0</v>
      </c>
      <c r="N9" s="13">
        <f>Base_SINISA_Agua!G9+Base_SINISA_Agua!H9</f>
        <v>0</v>
      </c>
      <c r="O9" s="13" t="str">
        <f>IF(Base_SINISA_2023!C9="Ausente","",Base_SINISA_2023!F9)</f>
        <v/>
      </c>
      <c r="P9" s="27" t="str">
        <f>IF(Base_SINISA_Agua!$C9="Ausente","n.c.",IF(O9="","n.c.",IF(N9="","n.c.",IF(N9+O9=0,"n.c.",(N(L9)+N(M9))/((N9+O9)/2)))))</f>
        <v>n.c.</v>
      </c>
      <c r="Q9" s="13" t="str">
        <f>IF(Base_SINISA_Agua!$C9="Ausente","Insatisfatório (nota 5)",IF(O9="","Não calculado – falta ano-1 (nota 1)","Calculado (nota 6: &gt;100% é válido)"))</f>
        <v>Insatisfatório (nota 5)</v>
      </c>
      <c r="R9" s="19"/>
      <c r="S9" s="19"/>
      <c r="T9" s="27" t="str">
        <f t="shared" si="0"/>
        <v>n.c.</v>
      </c>
      <c r="U9" s="13" t="str">
        <f t="shared" si="1"/>
        <v>Insatisfatório – sem coleta no SINISA (nota 2)</v>
      </c>
      <c r="V9" s="19"/>
      <c r="W9" s="19"/>
      <c r="X9" s="27" t="str">
        <f t="shared" si="2"/>
        <v>n.c.</v>
      </c>
      <c r="Y9" s="13" t="str">
        <f t="shared" si="3"/>
        <v>Insatisfatório – sem coleta no SINISA (nota 2)</v>
      </c>
      <c r="Z9" s="13">
        <f>Base_SINISA_Esgoto!M9</f>
        <v>0</v>
      </c>
      <c r="AA9" s="13">
        <f>Base_SINISA_Esgoto!N9</f>
        <v>0</v>
      </c>
      <c r="AB9" s="28" t="str">
        <f t="shared" si="4"/>
        <v>n.c.</v>
      </c>
      <c r="AC9" s="13" t="str">
        <f>IF(Base_SINISA_Esgoto!$C9="Ausente","Insatisfatório (nota 5)",IF(OR(Z9="",Z9=0),"Insatisfatório – sem extravasamento reparado","Calculado"))</f>
        <v>Insatisfatório (nota 5)</v>
      </c>
      <c r="AD9" s="13">
        <f>Base_SINISA_Esgoto!L9</f>
        <v>0</v>
      </c>
      <c r="AE9" s="13">
        <f>Base_SINISA_Esgoto!T9</f>
        <v>0</v>
      </c>
      <c r="AF9" s="13" t="str">
        <f>IF(Base_SINISA_Esgoto_2023!C9="Ausente","",Base_SINISA_Esgoto_2023!E9)</f>
        <v/>
      </c>
      <c r="AG9" s="29" t="str">
        <f>IF(Base_SINISA_Esgoto!$C9="Ausente","n.c.",IF(AE9="","n.c.",IF(AF9="","n.c.",IF(AE9+AF9=0,"n.c.",AD9/((AE9+AF9)/2)))))</f>
        <v>n.c.</v>
      </c>
      <c r="AH9" s="13" t="str">
        <f>IF(Base_SINISA_Esgoto!$C9="Ausente","Insatisfatório (nota 5)",IF(AF9="","Não calculado – falta ano-1 (nota 1)",IF(AE9="","Insatisfatório – extensão de rede 2024 ausente","Calculado")))</f>
        <v>Insatisfatório (nota 5)</v>
      </c>
    </row>
    <row r="10" spans="1:34" ht="15" customHeight="1" x14ac:dyDescent="0.35">
      <c r="A10" s="12">
        <v>3118403</v>
      </c>
      <c r="B10" s="12" t="s">
        <v>108</v>
      </c>
      <c r="C10" s="13">
        <f>Base_SINISA_Agua!M10</f>
        <v>1704</v>
      </c>
      <c r="D10" s="13">
        <f>Base_SINISA_Agua!N10</f>
        <v>0</v>
      </c>
      <c r="E10" s="13">
        <f>Base_SINISA_Agua!P10</f>
        <v>40</v>
      </c>
      <c r="F10" s="13">
        <f>Base_SINISA_Agua!Q10</f>
        <v>1186</v>
      </c>
      <c r="G10" s="13">
        <f>Base_SINISA_Agua!O10</f>
        <v>0</v>
      </c>
      <c r="H10" s="13">
        <f>Base_SINISA_Agua!K10</f>
        <v>8256</v>
      </c>
      <c r="I10" s="13">
        <f>IF(Base_SINISA_2023!C10="Ausente","",Base_SINISA_2023!E10)</f>
        <v>8369</v>
      </c>
      <c r="J10" s="26">
        <f>IF(Base_SINISA_Agua!$C10="Ausente","n.c.",IF(I10="","n.c.",IF(H10="","n.c.",IF(C10="","n.c.",IF(H10+I10=0,"n.c.",(C10+N(D10)-N(E10)-N(F10)-N(G10))*1000000/(((H10+I10)/2)*365))))))</f>
        <v>157.54454629724998</v>
      </c>
      <c r="K10" s="13" t="str">
        <f>IF(Base_SINISA_Agua!$C10="Ausente","Insatisfatório (nota 5)",IF(C10="","Insatisfatório – vol. produzido ausente",IF(I10="","Não calculado – falta ano-1 (nota 1)",IF(OR(D10="",E10="",F10="",G10=""),"Ressalva – parcela ausente = zero (nota 4)","Calculado"))))</f>
        <v>Calculado</v>
      </c>
      <c r="L10" s="13">
        <f>Base_SINISA_Agua!V10</f>
        <v>4580</v>
      </c>
      <c r="M10" s="13">
        <f>Base_SINISA_Agua!Y10</f>
        <v>0</v>
      </c>
      <c r="N10" s="13">
        <f>Base_SINISA_Agua!G10+Base_SINISA_Agua!H10</f>
        <v>8571</v>
      </c>
      <c r="O10" s="13">
        <f>IF(Base_SINISA_2023!C10="Ausente","",Base_SINISA_2023!F10)</f>
        <v>8503</v>
      </c>
      <c r="P10" s="27">
        <f>IF(Base_SINISA_Agua!$C10="Ausente","n.c.",IF(O10="","n.c.",IF(N10="","n.c.",IF(N10+O10=0,"n.c.",(N(L10)+N(M10))/((N10+O10)/2)))))</f>
        <v>0.53648822771465388</v>
      </c>
      <c r="Q10" s="13" t="str">
        <f>IF(Base_SINISA_Agua!$C10="Ausente","Insatisfatório (nota 5)",IF(O10="","Não calculado – falta ano-1 (nota 1)","Calculado (nota 6: &gt;100% é válido)"))</f>
        <v>Calculado (nota 6: &gt;100% é válido)</v>
      </c>
      <c r="R10" s="19"/>
      <c r="S10" s="19"/>
      <c r="T10" s="27" t="str">
        <f t="shared" si="0"/>
        <v>n.c.</v>
      </c>
      <c r="U10" s="13" t="str">
        <f t="shared" si="1"/>
        <v>Insatisfatório – sem coleta no SINISA (nota 2)</v>
      </c>
      <c r="V10" s="19"/>
      <c r="W10" s="19"/>
      <c r="X10" s="27" t="str">
        <f t="shared" si="2"/>
        <v>n.c.</v>
      </c>
      <c r="Y10" s="13" t="str">
        <f t="shared" si="3"/>
        <v>Insatisfatório – sem coleta no SINISA (nota 2)</v>
      </c>
      <c r="Z10" s="13">
        <f>Base_SINISA_Esgoto!M10</f>
        <v>40</v>
      </c>
      <c r="AA10" s="13">
        <f>Base_SINISA_Esgoto!N10</f>
        <v>79</v>
      </c>
      <c r="AB10" s="28">
        <f t="shared" si="4"/>
        <v>1.9750000000000001</v>
      </c>
      <c r="AC10" s="13" t="str">
        <f>IF(Base_SINISA_Esgoto!$C10="Ausente","Insatisfatório (nota 5)",IF(OR(Z10="",Z10=0),"Insatisfatório – sem extravasamento reparado","Calculado"))</f>
        <v>Calculado</v>
      </c>
      <c r="AD10" s="13">
        <f>Base_SINISA_Esgoto!L10</f>
        <v>40</v>
      </c>
      <c r="AE10" s="13">
        <f>Base_SINISA_Esgoto!T10</f>
        <v>77</v>
      </c>
      <c r="AF10" s="13">
        <f>IF(Base_SINISA_Esgoto_2023!C10="Ausente","",Base_SINISA_Esgoto_2023!E10)</f>
        <v>77</v>
      </c>
      <c r="AG10" s="29">
        <f>IF(Base_SINISA_Esgoto!$C10="Ausente","n.c.",IF(AE10="","n.c.",IF(AF10="","n.c.",IF(AE10+AF10=0,"n.c.",AD10/((AE10+AF10)/2)))))</f>
        <v>0.51948051948051943</v>
      </c>
      <c r="AH10" s="13" t="str">
        <f>IF(Base_SINISA_Esgoto!$C10="Ausente","Insatisfatório (nota 5)",IF(AF10="","Não calculado – falta ano-1 (nota 1)",IF(AE10="","Insatisfatório – extensão de rede 2024 ausente","Calculado")))</f>
        <v>Calculado</v>
      </c>
    </row>
    <row r="11" spans="1:34" ht="15" customHeight="1" x14ac:dyDescent="0.35">
      <c r="A11" s="12">
        <v>3127701</v>
      </c>
      <c r="B11" s="12" t="s">
        <v>109</v>
      </c>
      <c r="C11" s="13">
        <f>Base_SINISA_Agua!M11</f>
        <v>34988.07</v>
      </c>
      <c r="D11" s="13">
        <f>Base_SINISA_Agua!N11</f>
        <v>0</v>
      </c>
      <c r="E11" s="13">
        <f>Base_SINISA_Agua!P11</f>
        <v>781.55</v>
      </c>
      <c r="F11" s="13">
        <f>Base_SINISA_Agua!Q11</f>
        <v>15814.81</v>
      </c>
      <c r="G11" s="13">
        <f>Base_SINISA_Agua!O11</f>
        <v>0</v>
      </c>
      <c r="H11" s="13">
        <f>Base_SINISA_Agua!K11</f>
        <v>94209</v>
      </c>
      <c r="I11" s="13">
        <f>IF(Base_SINISA_2023!C11="Ausente","",Base_SINISA_2023!E11)</f>
        <v>92651</v>
      </c>
      <c r="J11" s="26">
        <f>IF(Base_SINISA_Agua!$C11="Ausente","n.c.",IF(I11="","n.c.",IF(H11="","n.c.",IF(C11="","n.c.",IF(H11+I11=0,"n.c.",(C11+N(D11)-N(E11)-N(F11)-N(G11))*1000000/(((H11+I11)/2)*365))))))</f>
        <v>539.31549368877734</v>
      </c>
      <c r="K11" s="13" t="str">
        <f>IF(Base_SINISA_Agua!$C11="Ausente","Insatisfatório (nota 5)",IF(C11="","Insatisfatório – vol. produzido ausente",IF(I11="","Não calculado – falta ano-1 (nota 1)",IF(OR(D11="",E11="",F11="",G11=""),"Ressalva – parcela ausente = zero (nota 4)","Calculado"))))</f>
        <v>Calculado</v>
      </c>
      <c r="L11" s="13">
        <f>Base_SINISA_Agua!V11</f>
        <v>10842</v>
      </c>
      <c r="M11" s="13">
        <f>Base_SINISA_Agua!Y11</f>
        <v>0</v>
      </c>
      <c r="N11" s="13">
        <f>Base_SINISA_Agua!G11+Base_SINISA_Agua!H11</f>
        <v>123308</v>
      </c>
      <c r="O11" s="13">
        <f>IF(Base_SINISA_2023!C11="Ausente","",Base_SINISA_2023!F11)</f>
        <v>126757</v>
      </c>
      <c r="P11" s="27">
        <f>IF(Base_SINISA_Agua!$C11="Ausente","n.c.",IF(O11="","n.c.",IF(N11="","n.c.",IF(N11+O11=0,"n.c.",(N(L11)+N(M11))/((N11+O11)/2)))))</f>
        <v>8.6713454501829518E-2</v>
      </c>
      <c r="Q11" s="13" t="str">
        <f>IF(Base_SINISA_Agua!$C11="Ausente","Insatisfatório (nota 5)",IF(O11="","Não calculado – falta ano-1 (nota 1)","Calculado (nota 6: &gt;100% é válido)"))</f>
        <v>Calculado (nota 6: &gt;100% é válido)</v>
      </c>
      <c r="R11" s="19"/>
      <c r="S11" s="19"/>
      <c r="T11" s="27" t="str">
        <f t="shared" si="0"/>
        <v>n.c.</v>
      </c>
      <c r="U11" s="13" t="str">
        <f t="shared" si="1"/>
        <v>Insatisfatório – sem coleta no SINISA (nota 2)</v>
      </c>
      <c r="V11" s="19"/>
      <c r="W11" s="19"/>
      <c r="X11" s="27" t="str">
        <f t="shared" si="2"/>
        <v>n.c.</v>
      </c>
      <c r="Y11" s="13" t="str">
        <f t="shared" si="3"/>
        <v>Insatisfatório – sem coleta no SINISA (nota 2)</v>
      </c>
      <c r="Z11" s="13">
        <f>Base_SINISA_Esgoto!M11</f>
        <v>9459</v>
      </c>
      <c r="AA11" s="13">
        <f>Base_SINISA_Esgoto!N11</f>
        <v>1555</v>
      </c>
      <c r="AB11" s="28">
        <f t="shared" si="4"/>
        <v>0.1643936991225288</v>
      </c>
      <c r="AC11" s="13" t="str">
        <f>IF(Base_SINISA_Esgoto!$C11="Ausente","Insatisfatório (nota 5)",IF(OR(Z11="",Z11=0),"Insatisfatório – sem extravasamento reparado","Calculado"))</f>
        <v>Calculado</v>
      </c>
      <c r="AD11" s="13">
        <f>Base_SINISA_Esgoto!L11</f>
        <v>10620</v>
      </c>
      <c r="AE11" s="13">
        <f>Base_SINISA_Esgoto!T11</f>
        <v>763.71</v>
      </c>
      <c r="AF11" s="13">
        <f>IF(Base_SINISA_Esgoto_2023!C11="Ausente","",Base_SINISA_Esgoto_2023!E11)</f>
        <v>730.94</v>
      </c>
      <c r="AG11" s="29">
        <f>IF(Base_SINISA_Esgoto!$C11="Ausente","n.c.",IF(AE11="","n.c.",IF(AF11="","n.c.",IF(AE11+AF11=0,"n.c.",AD11/((AE11+AF11)/2)))))</f>
        <v>14.210684775699995</v>
      </c>
      <c r="AH11" s="13" t="str">
        <f>IF(Base_SINISA_Esgoto!$C11="Ausente","Insatisfatório (nota 5)",IF(AF11="","Não calculado – falta ano-1 (nota 1)",IF(AE11="","Insatisfatório – extensão de rede 2024 ausente","Calculado")))</f>
        <v>Calculado</v>
      </c>
    </row>
    <row r="12" spans="1:34" ht="15" customHeight="1" x14ac:dyDescent="0.35">
      <c r="A12" s="12">
        <v>3128402</v>
      </c>
      <c r="B12" s="12" t="s">
        <v>111</v>
      </c>
      <c r="C12" s="13">
        <f>Base_SINISA_Agua!M12</f>
        <v>190</v>
      </c>
      <c r="D12" s="13">
        <f>Base_SINISA_Agua!N12</f>
        <v>0</v>
      </c>
      <c r="E12" s="13">
        <f>Base_SINISA_Agua!P12</f>
        <v>0</v>
      </c>
      <c r="F12" s="13">
        <f>Base_SINISA_Agua!Q12</f>
        <v>180.12</v>
      </c>
      <c r="G12" s="13">
        <f>Base_SINISA_Agua!O12</f>
        <v>0</v>
      </c>
      <c r="H12" s="13">
        <f>Base_SINISA_Agua!K12</f>
        <v>2660</v>
      </c>
      <c r="I12" s="13">
        <f>IF(Base_SINISA_2023!C12="Ausente","",Base_SINISA_2023!E12)</f>
        <v>2642</v>
      </c>
      <c r="J12" s="26">
        <f>IF(Base_SINISA_Agua!$C12="Ausente","n.c.",IF(I12="","n.c.",IF(H12="","n.c.",IF(C12="","n.c.",IF(H12+I12=0,"n.c.",(C12+N(D12)-N(E12)-N(F12)-N(G12))*1000000/(((H12+I12)/2)*365))))))</f>
        <v>10.210672633227054</v>
      </c>
      <c r="K12" s="13" t="str">
        <f>IF(Base_SINISA_Agua!$C12="Ausente","Insatisfatório (nota 5)",IF(C12="","Insatisfatório – vol. produzido ausente",IF(I12="","Não calculado – falta ano-1 (nota 1)",IF(OR(D12="",E12="",F12="",G12=""),"Ressalva – parcela ausente = zero (nota 4)","Calculado"))))</f>
        <v>Calculado</v>
      </c>
      <c r="L12" s="13">
        <f>Base_SINISA_Agua!V12</f>
        <v>600</v>
      </c>
      <c r="M12" s="13">
        <f>Base_SINISA_Agua!Y12</f>
        <v>600</v>
      </c>
      <c r="N12" s="13">
        <f>Base_SINISA_Agua!G12+Base_SINISA_Agua!H12</f>
        <v>2660</v>
      </c>
      <c r="O12" s="13">
        <f>IF(Base_SINISA_2023!C12="Ausente","",Base_SINISA_2023!F12)</f>
        <v>2642</v>
      </c>
      <c r="P12" s="27">
        <f>IF(Base_SINISA_Agua!$C12="Ausente","n.c.",IF(O12="","n.c.",IF(N12="","n.c.",IF(N12+O12=0,"n.c.",(N(L12)+N(M12))/((N12+O12)/2)))))</f>
        <v>0.45265937382119953</v>
      </c>
      <c r="Q12" s="13" t="str">
        <f>IF(Base_SINISA_Agua!$C12="Ausente","Insatisfatório (nota 5)",IF(O12="","Não calculado – falta ano-1 (nota 1)","Calculado (nota 6: &gt;100% é válido)"))</f>
        <v>Calculado (nota 6: &gt;100% é válido)</v>
      </c>
      <c r="R12" s="19"/>
      <c r="S12" s="19"/>
      <c r="T12" s="27" t="str">
        <f t="shared" si="0"/>
        <v>n.c.</v>
      </c>
      <c r="U12" s="13" t="str">
        <f t="shared" si="1"/>
        <v>Insatisfatório – sem coleta no SINISA (nota 2)</v>
      </c>
      <c r="V12" s="19"/>
      <c r="W12" s="19"/>
      <c r="X12" s="27" t="str">
        <f t="shared" si="2"/>
        <v>n.c.</v>
      </c>
      <c r="Y12" s="13" t="str">
        <f t="shared" si="3"/>
        <v>Insatisfatório – sem coleta no SINISA (nota 2)</v>
      </c>
      <c r="Z12" s="13">
        <f>Base_SINISA_Esgoto!M12</f>
        <v>50</v>
      </c>
      <c r="AA12" s="13">
        <f>Base_SINISA_Esgoto!N12</f>
        <v>100</v>
      </c>
      <c r="AB12" s="28">
        <f t="shared" si="4"/>
        <v>2</v>
      </c>
      <c r="AC12" s="13" t="str">
        <f>IF(Base_SINISA_Esgoto!$C12="Ausente","Insatisfatório (nota 5)",IF(OR(Z12="",Z12=0),"Insatisfatório – sem extravasamento reparado","Calculado"))</f>
        <v>Calculado</v>
      </c>
      <c r="AD12" s="13">
        <f>Base_SINISA_Esgoto!L12</f>
        <v>50</v>
      </c>
      <c r="AE12" s="13">
        <f>Base_SINISA_Esgoto!T12</f>
        <v>35</v>
      </c>
      <c r="AF12" s="13">
        <f>IF(Base_SINISA_Esgoto_2023!C12="Ausente","",Base_SINISA_Esgoto_2023!E12)</f>
        <v>37</v>
      </c>
      <c r="AG12" s="29">
        <f>IF(Base_SINISA_Esgoto!$C12="Ausente","n.c.",IF(AE12="","n.c.",IF(AF12="","n.c.",IF(AE12+AF12=0,"n.c.",AD12/((AE12+AF12)/2)))))</f>
        <v>1.3888888888888888</v>
      </c>
      <c r="AH12" s="13" t="str">
        <f>IF(Base_SINISA_Esgoto!$C12="Ausente","Insatisfatório (nota 5)",IF(AF12="","Não calculado – falta ano-1 (nota 1)",IF(AE12="","Insatisfatório – extensão de rede 2024 ausente","Calculado")))</f>
        <v>Calculado</v>
      </c>
    </row>
    <row r="13" spans="1:34" ht="15" customHeight="1" x14ac:dyDescent="0.35">
      <c r="A13" s="12">
        <v>3131208</v>
      </c>
      <c r="B13" s="12" t="s">
        <v>113</v>
      </c>
      <c r="C13" s="13">
        <f>Base_SINISA_Agua!M13</f>
        <v>1412</v>
      </c>
      <c r="D13" s="13">
        <f>Base_SINISA_Agua!N13</f>
        <v>0</v>
      </c>
      <c r="E13" s="13">
        <f>Base_SINISA_Agua!P13</f>
        <v>5.8</v>
      </c>
      <c r="F13" s="13">
        <f>Base_SINISA_Agua!Q13</f>
        <v>1040.6600000000001</v>
      </c>
      <c r="G13" s="13">
        <f>Base_SINISA_Agua!O13</f>
        <v>0</v>
      </c>
      <c r="H13" s="13">
        <f>Base_SINISA_Agua!K13</f>
        <v>7757</v>
      </c>
      <c r="I13" s="13">
        <f>IF(Base_SINISA_2023!C13="Ausente","",Base_SINISA_2023!E13)</f>
        <v>7743</v>
      </c>
      <c r="J13" s="26">
        <f>IF(Base_SINISA_Agua!$C13="Ausente","n.c.",IF(I13="","n.c.",IF(H13="","n.c.",IF(C13="","n.c.",IF(H13+I13=0,"n.c.",(C13+N(D13)-N(E13)-N(F13)-N(G13))*1000000/(((H13+I13)/2)*365))))))</f>
        <v>129.22315510384442</v>
      </c>
      <c r="K13" s="13" t="str">
        <f>IF(Base_SINISA_Agua!$C13="Ausente","Insatisfatório (nota 5)",IF(C13="","Insatisfatório – vol. produzido ausente",IF(I13="","Não calculado – falta ano-1 (nota 1)",IF(OR(D13="",E13="",F13="",G13=""),"Ressalva – parcela ausente = zero (nota 4)","Calculado"))))</f>
        <v>Calculado</v>
      </c>
      <c r="L13" s="13">
        <f>Base_SINISA_Agua!V13</f>
        <v>5000</v>
      </c>
      <c r="M13" s="13">
        <f>Base_SINISA_Agua!Y13</f>
        <v>0</v>
      </c>
      <c r="N13" s="13">
        <f>Base_SINISA_Agua!G13+Base_SINISA_Agua!H13</f>
        <v>7832</v>
      </c>
      <c r="O13" s="13">
        <f>IF(Base_SINISA_2023!C13="Ausente","",Base_SINISA_2023!F13)</f>
        <v>7813</v>
      </c>
      <c r="P13" s="27">
        <f>IF(Base_SINISA_Agua!$C13="Ausente","n.c.",IF(O13="","n.c.",IF(N13="","n.c.",IF(N13+O13=0,"n.c.",(N(L13)+N(M13))/((N13+O13)/2)))))</f>
        <v>0.6391818472355385</v>
      </c>
      <c r="Q13" s="13" t="str">
        <f>IF(Base_SINISA_Agua!$C13="Ausente","Insatisfatório (nota 5)",IF(O13="","Não calculado – falta ano-1 (nota 1)","Calculado (nota 6: &gt;100% é válido)"))</f>
        <v>Calculado (nota 6: &gt;100% é válido)</v>
      </c>
      <c r="R13" s="19"/>
      <c r="S13" s="19"/>
      <c r="T13" s="27" t="str">
        <f t="shared" si="0"/>
        <v>n.c.</v>
      </c>
      <c r="U13" s="13" t="str">
        <f t="shared" si="1"/>
        <v>Insatisfatório – sem coleta no SINISA (nota 2)</v>
      </c>
      <c r="V13" s="19"/>
      <c r="W13" s="19"/>
      <c r="X13" s="27" t="str">
        <f t="shared" si="2"/>
        <v>n.c.</v>
      </c>
      <c r="Y13" s="13" t="str">
        <f t="shared" si="3"/>
        <v>Insatisfatório – sem coleta no SINISA (nota 2)</v>
      </c>
      <c r="Z13" s="13">
        <f>Base_SINISA_Esgoto!M13</f>
        <v>520</v>
      </c>
      <c r="AA13" s="13">
        <f>Base_SINISA_Esgoto!N13</f>
        <v>295</v>
      </c>
      <c r="AB13" s="28">
        <f t="shared" si="4"/>
        <v>0.56730769230769229</v>
      </c>
      <c r="AC13" s="13" t="str">
        <f>IF(Base_SINISA_Esgoto!$C13="Ausente","Insatisfatório (nota 5)",IF(OR(Z13="",Z13=0),"Insatisfatório – sem extravasamento reparado","Calculado"))</f>
        <v>Calculado</v>
      </c>
      <c r="AD13" s="13">
        <f>Base_SINISA_Esgoto!L13</f>
        <v>520</v>
      </c>
      <c r="AE13" s="13">
        <f>Base_SINISA_Esgoto!T13</f>
        <v>62</v>
      </c>
      <c r="AF13" s="13">
        <f>IF(Base_SINISA_Esgoto_2023!C13="Ausente","",Base_SINISA_Esgoto_2023!E13)</f>
        <v>60</v>
      </c>
      <c r="AG13" s="29">
        <f>IF(Base_SINISA_Esgoto!$C13="Ausente","n.c.",IF(AE13="","n.c.",IF(AF13="","n.c.",IF(AE13+AF13=0,"n.c.",AD13/((AE13+AF13)/2)))))</f>
        <v>8.5245901639344268</v>
      </c>
      <c r="AH13" s="13" t="str">
        <f>IF(Base_SINISA_Esgoto!$C13="Ausente","Insatisfatório (nota 5)",IF(AF13="","Não calculado – falta ano-1 (nota 1)",IF(AE13="","Insatisfatório – extensão de rede 2024 ausente","Calculado")))</f>
        <v>Calculado</v>
      </c>
    </row>
    <row r="14" spans="1:34" ht="15" customHeight="1" x14ac:dyDescent="0.35">
      <c r="A14" s="12">
        <v>3132701</v>
      </c>
      <c r="B14" s="12" t="s">
        <v>114</v>
      </c>
      <c r="C14" s="13">
        <f>Base_SINISA_Agua!M14</f>
        <v>2619</v>
      </c>
      <c r="D14" s="13">
        <f>Base_SINISA_Agua!N14</f>
        <v>0</v>
      </c>
      <c r="E14" s="13">
        <f>Base_SINISA_Agua!P14</f>
        <v>0</v>
      </c>
      <c r="F14" s="13">
        <f>Base_SINISA_Agua!Q14</f>
        <v>500</v>
      </c>
      <c r="G14" s="13">
        <f>Base_SINISA_Agua!O14</f>
        <v>0</v>
      </c>
      <c r="H14" s="13">
        <f>Base_SINISA_Agua!K14</f>
        <v>6035</v>
      </c>
      <c r="I14" s="13">
        <f>IF(Base_SINISA_2023!C14="Ausente","",Base_SINISA_2023!E14)</f>
        <v>5100</v>
      </c>
      <c r="J14" s="26">
        <f>IF(Base_SINISA_Agua!$C14="Ausente","n.c.",IF(I14="","n.c.",IF(H14="","n.c.",IF(C14="","n.c.",IF(H14+I14=0,"n.c.",(C14+N(D14)-N(E14)-N(F14)-N(G14))*1000000/(((H14+I14)/2)*365))))))</f>
        <v>1042.7444009079111</v>
      </c>
      <c r="K14" s="13" t="str">
        <f>IF(Base_SINISA_Agua!$C14="Ausente","Insatisfatório (nota 5)",IF(C14="","Insatisfatório – vol. produzido ausente",IF(I14="","Não calculado – falta ano-1 (nota 1)",IF(OR(D14="",E14="",F14="",G14=""),"Ressalva – parcela ausente = zero (nota 4)","Calculado"))))</f>
        <v>Calculado</v>
      </c>
      <c r="L14" s="13">
        <f>Base_SINISA_Agua!V14</f>
        <v>0</v>
      </c>
      <c r="M14" s="13">
        <f>Base_SINISA_Agua!Y14</f>
        <v>0</v>
      </c>
      <c r="N14" s="13">
        <f>Base_SINISA_Agua!G14+Base_SINISA_Agua!H14</f>
        <v>6801</v>
      </c>
      <c r="O14" s="13">
        <f>IF(Base_SINISA_2023!C14="Ausente","",Base_SINISA_2023!F14)</f>
        <v>5923</v>
      </c>
      <c r="P14" s="27">
        <f>IF(Base_SINISA_Agua!$C14="Ausente","n.c.",IF(O14="","n.c.",IF(N14="","n.c.",IF(N14+O14=0,"n.c.",(N(L14)+N(M14))/((N14+O14)/2)))))</f>
        <v>0</v>
      </c>
      <c r="Q14" s="13" t="str">
        <f>IF(Base_SINISA_Agua!$C14="Ausente","Insatisfatório (nota 5)",IF(O14="","Não calculado – falta ano-1 (nota 1)","Calculado (nota 6: &gt;100% é válido)"))</f>
        <v>Calculado (nota 6: &gt;100% é válido)</v>
      </c>
      <c r="R14" s="19"/>
      <c r="S14" s="19"/>
      <c r="T14" s="27" t="str">
        <f t="shared" si="0"/>
        <v>n.c.</v>
      </c>
      <c r="U14" s="13" t="str">
        <f t="shared" si="1"/>
        <v>Insatisfatório – sem coleta no SINISA (nota 2)</v>
      </c>
      <c r="V14" s="19"/>
      <c r="W14" s="19"/>
      <c r="X14" s="27" t="str">
        <f t="shared" si="2"/>
        <v>n.c.</v>
      </c>
      <c r="Y14" s="13" t="str">
        <f t="shared" si="3"/>
        <v>Insatisfatório – sem coleta no SINISA (nota 2)</v>
      </c>
      <c r="Z14" s="13">
        <f>Base_SINISA_Esgoto!M14</f>
        <v>100</v>
      </c>
      <c r="AA14" s="13">
        <f>Base_SINISA_Esgoto!N14</f>
        <v>220</v>
      </c>
      <c r="AB14" s="28">
        <f t="shared" si="4"/>
        <v>2.2000000000000002</v>
      </c>
      <c r="AC14" s="13" t="str">
        <f>IF(Base_SINISA_Esgoto!$C14="Ausente","Insatisfatório (nota 5)",IF(OR(Z14="",Z14=0),"Insatisfatório – sem extravasamento reparado","Calculado"))</f>
        <v>Calculado</v>
      </c>
      <c r="AD14" s="13">
        <f>Base_SINISA_Esgoto!L14</f>
        <v>100</v>
      </c>
      <c r="AE14" s="13">
        <f>Base_SINISA_Esgoto!T14</f>
        <v>50</v>
      </c>
      <c r="AF14" s="13">
        <f>IF(Base_SINISA_Esgoto_2023!C14="Ausente","",Base_SINISA_Esgoto_2023!E14)</f>
        <v>50</v>
      </c>
      <c r="AG14" s="29">
        <f>IF(Base_SINISA_Esgoto!$C14="Ausente","n.c.",IF(AE14="","n.c.",IF(AF14="","n.c.",IF(AE14+AF14=0,"n.c.",AD14/((AE14+AF14)/2)))))</f>
        <v>2</v>
      </c>
      <c r="AH14" s="13" t="str">
        <f>IF(Base_SINISA_Esgoto!$C14="Ausente","Insatisfatório (nota 5)",IF(AF14="","Não calculado – falta ano-1 (nota 1)",IF(AE14="","Insatisfatório – extensão de rede 2024 ausente","Calculado")))</f>
        <v>Calculado</v>
      </c>
    </row>
    <row r="15" spans="1:34" ht="15" customHeight="1" x14ac:dyDescent="0.35">
      <c r="A15" s="12">
        <v>3135076</v>
      </c>
      <c r="B15" s="12" t="s">
        <v>115</v>
      </c>
      <c r="C15" s="13">
        <f>Base_SINISA_Agua!M15</f>
        <v>171.98</v>
      </c>
      <c r="D15" s="13">
        <f>Base_SINISA_Agua!N15</f>
        <v>0</v>
      </c>
      <c r="E15" s="13">
        <f>Base_SINISA_Agua!P15</f>
        <v>4</v>
      </c>
      <c r="F15" s="13">
        <f>Base_SINISA_Agua!Q15</f>
        <v>137.88999999999999</v>
      </c>
      <c r="G15" s="13">
        <f>Base_SINISA_Agua!O15</f>
        <v>0</v>
      </c>
      <c r="H15" s="13">
        <f>Base_SINISA_Agua!K15</f>
        <v>1020</v>
      </c>
      <c r="I15" s="13" t="str">
        <f>IF(Base_SINISA_2023!C15="Ausente","",Base_SINISA_2023!E15)</f>
        <v/>
      </c>
      <c r="J15" s="26" t="str">
        <f>IF(Base_SINISA_Agua!$C15="Ausente","n.c.",IF(I15="","n.c.",IF(H15="","n.c.",IF(C15="","n.c.",IF(H15+I15=0,"n.c.",(C15+N(D15)-N(E15)-N(F15)-N(G15))*1000000/(((H15+I15)/2)*365))))))</f>
        <v>n.c.</v>
      </c>
      <c r="K15" s="13" t="str">
        <f>IF(Base_SINISA_Agua!$C15="Ausente","Insatisfatório (nota 5)",IF(C15="","Insatisfatório – vol. produzido ausente",IF(I15="","Não calculado – falta ano-1 (nota 1)",IF(OR(D15="",E15="",F15="",G15=""),"Ressalva – parcela ausente = zero (nota 4)","Calculado"))))</f>
        <v>Não calculado – falta ano-1 (nota 1)</v>
      </c>
      <c r="L15" s="13">
        <f>Base_SINISA_Agua!V15</f>
        <v>1034</v>
      </c>
      <c r="M15" s="13">
        <f>Base_SINISA_Agua!Y15</f>
        <v>1034</v>
      </c>
      <c r="N15" s="13">
        <f>Base_SINISA_Agua!G15+Base_SINISA_Agua!H15</f>
        <v>1034</v>
      </c>
      <c r="O15" s="13" t="str">
        <f>IF(Base_SINISA_2023!C15="Ausente","",Base_SINISA_2023!F15)</f>
        <v/>
      </c>
      <c r="P15" s="27" t="str">
        <f>IF(Base_SINISA_Agua!$C15="Ausente","n.c.",IF(O15="","n.c.",IF(N15="","n.c.",IF(N15+O15=0,"n.c.",(N(L15)+N(M15))/((N15+O15)/2)))))</f>
        <v>n.c.</v>
      </c>
      <c r="Q15" s="13" t="str">
        <f>IF(Base_SINISA_Agua!$C15="Ausente","Insatisfatório (nota 5)",IF(O15="","Não calculado – falta ano-1 (nota 1)","Calculado (nota 6: &gt;100% é válido)"))</f>
        <v>Não calculado – falta ano-1 (nota 1)</v>
      </c>
      <c r="R15" s="19"/>
      <c r="S15" s="19"/>
      <c r="T15" s="27" t="str">
        <f t="shared" si="0"/>
        <v>n.c.</v>
      </c>
      <c r="U15" s="13" t="str">
        <f t="shared" si="1"/>
        <v>Insatisfatório – sem coleta no SINISA (nota 2)</v>
      </c>
      <c r="V15" s="19"/>
      <c r="W15" s="19"/>
      <c r="X15" s="27" t="str">
        <f t="shared" si="2"/>
        <v>n.c.</v>
      </c>
      <c r="Y15" s="13" t="str">
        <f t="shared" si="3"/>
        <v>Insatisfatório – sem coleta no SINISA (nota 2)</v>
      </c>
      <c r="Z15" s="13">
        <f>Base_SINISA_Esgoto!M15</f>
        <v>0</v>
      </c>
      <c r="AA15" s="13">
        <f>Base_SINISA_Esgoto!N15</f>
        <v>0</v>
      </c>
      <c r="AB15" s="28" t="str">
        <f t="shared" si="4"/>
        <v>n.c.</v>
      </c>
      <c r="AC15" s="13" t="str">
        <f>IF(Base_SINISA_Esgoto!$C15="Ausente","Insatisfatório (nota 5)",IF(OR(Z15="",Z15=0),"Insatisfatório – sem extravasamento reparado","Calculado"))</f>
        <v>Insatisfatório (nota 5)</v>
      </c>
      <c r="AD15" s="13">
        <f>Base_SINISA_Esgoto!L15</f>
        <v>0</v>
      </c>
      <c r="AE15" s="13">
        <f>Base_SINISA_Esgoto!T15</f>
        <v>0</v>
      </c>
      <c r="AF15" s="13" t="str">
        <f>IF(Base_SINISA_Esgoto_2023!C15="Ausente","",Base_SINISA_Esgoto_2023!E15)</f>
        <v/>
      </c>
      <c r="AG15" s="29" t="str">
        <f>IF(Base_SINISA_Esgoto!$C15="Ausente","n.c.",IF(AE15="","n.c.",IF(AF15="","n.c.",IF(AE15+AF15=0,"n.c.",AD15/((AE15+AF15)/2)))))</f>
        <v>n.c.</v>
      </c>
      <c r="AH15" s="13" t="str">
        <f>IF(Base_SINISA_Esgoto!$C15="Ausente","Insatisfatório (nota 5)",IF(AF15="","Não calculado – falta ano-1 (nota 1)",IF(AE15="","Insatisfatório – extensão de rede 2024 ausente","Calculado")))</f>
        <v>Insatisfatório (nota 5)</v>
      </c>
    </row>
    <row r="16" spans="1:34" ht="15" customHeight="1" x14ac:dyDescent="0.35">
      <c r="A16" s="12">
        <v>3135407</v>
      </c>
      <c r="B16" s="12" t="s">
        <v>117</v>
      </c>
      <c r="C16" s="13">
        <f>Base_SINISA_Agua!M16</f>
        <v>586.29999999999995</v>
      </c>
      <c r="D16" s="13">
        <f>Base_SINISA_Agua!N16</f>
        <v>0</v>
      </c>
      <c r="E16" s="13">
        <f>Base_SINISA_Agua!P16</f>
        <v>0</v>
      </c>
      <c r="F16" s="13">
        <f>Base_SINISA_Agua!Q16</f>
        <v>467.66</v>
      </c>
      <c r="G16" s="13">
        <f>Base_SINISA_Agua!O16</f>
        <v>0</v>
      </c>
      <c r="H16" s="13">
        <f>Base_SINISA_Agua!K16</f>
        <v>1805</v>
      </c>
      <c r="I16" s="13">
        <f>IF(Base_SINISA_2023!C16="Ausente","",Base_SINISA_2023!E16)</f>
        <v>1801</v>
      </c>
      <c r="J16" s="26">
        <f>IF(Base_SINISA_Agua!$C16="Ausente","n.c.",IF(I16="","n.c.",IF(H16="","n.c.",IF(C16="","n.c.",IF(H16+I16=0,"n.c.",(C16+N(D16)-N(E16)-N(F16)-N(G16))*1000000/(((H16+I16)/2)*365))))))</f>
        <v>180.27792340011689</v>
      </c>
      <c r="K16" s="13" t="str">
        <f>IF(Base_SINISA_Agua!$C16="Ausente","Insatisfatório (nota 5)",IF(C16="","Insatisfatório – vol. produzido ausente",IF(I16="","Não calculado – falta ano-1 (nota 1)",IF(OR(D16="",E16="",F16="",G16=""),"Ressalva – parcela ausente = zero (nota 4)","Calculado"))))</f>
        <v>Calculado</v>
      </c>
      <c r="L16" s="13">
        <f>Base_SINISA_Agua!V16</f>
        <v>25140</v>
      </c>
      <c r="M16" s="13">
        <f>Base_SINISA_Agua!Y16</f>
        <v>0</v>
      </c>
      <c r="N16" s="13">
        <f>Base_SINISA_Agua!G16+Base_SINISA_Agua!H16</f>
        <v>3492</v>
      </c>
      <c r="O16" s="13">
        <f>IF(Base_SINISA_2023!C16="Ausente","",Base_SINISA_2023!F16)</f>
        <v>3378</v>
      </c>
      <c r="P16" s="27">
        <f>IF(Base_SINISA_Agua!$C16="Ausente","n.c.",IF(O16="","n.c.",IF(N16="","n.c.",IF(N16+O16=0,"n.c.",(N(L16)+N(M16))/((N16+O16)/2)))))</f>
        <v>7.318777292576419</v>
      </c>
      <c r="Q16" s="13" t="str">
        <f>IF(Base_SINISA_Agua!$C16="Ausente","Insatisfatório (nota 5)",IF(O16="","Não calculado – falta ano-1 (nota 1)","Calculado (nota 6: &gt;100% é válido)"))</f>
        <v>Calculado (nota 6: &gt;100% é válido)</v>
      </c>
      <c r="R16" s="19"/>
      <c r="S16" s="19"/>
      <c r="T16" s="27" t="str">
        <f t="shared" si="0"/>
        <v>n.c.</v>
      </c>
      <c r="U16" s="13" t="str">
        <f t="shared" si="1"/>
        <v>Insatisfatório – sem coleta no SINISA (nota 2)</v>
      </c>
      <c r="V16" s="19"/>
      <c r="W16" s="19"/>
      <c r="X16" s="27" t="str">
        <f t="shared" si="2"/>
        <v>n.c.</v>
      </c>
      <c r="Y16" s="13" t="str">
        <f t="shared" si="3"/>
        <v>Insatisfatório – sem coleta no SINISA (nota 2)</v>
      </c>
      <c r="Z16" s="13">
        <f>Base_SINISA_Esgoto!M16</f>
        <v>10</v>
      </c>
      <c r="AA16" s="13">
        <f>Base_SINISA_Esgoto!N16</f>
        <v>76</v>
      </c>
      <c r="AB16" s="28">
        <f t="shared" si="4"/>
        <v>7.6</v>
      </c>
      <c r="AC16" s="13" t="str">
        <f>IF(Base_SINISA_Esgoto!$C16="Ausente","Insatisfatório (nota 5)",IF(OR(Z16="",Z16=0),"Insatisfatório – sem extravasamento reparado","Calculado"))</f>
        <v>Calculado</v>
      </c>
      <c r="AD16" s="13">
        <f>Base_SINISA_Esgoto!L16</f>
        <v>10</v>
      </c>
      <c r="AE16" s="13">
        <f>Base_SINISA_Esgoto!T16</f>
        <v>25</v>
      </c>
      <c r="AF16" s="13">
        <f>IF(Base_SINISA_Esgoto_2023!C16="Ausente","",Base_SINISA_Esgoto_2023!E16)</f>
        <v>25</v>
      </c>
      <c r="AG16" s="29">
        <f>IF(Base_SINISA_Esgoto!$C16="Ausente","n.c.",IF(AE16="","n.c.",IF(AF16="","n.c.",IF(AE16+AF16=0,"n.c.",AD16/((AE16+AF16)/2)))))</f>
        <v>0.4</v>
      </c>
      <c r="AH16" s="13" t="str">
        <f>IF(Base_SINISA_Esgoto!$C16="Ausente","Insatisfatório (nota 5)",IF(AF16="","Não calculado – falta ano-1 (nota 1)",IF(AE16="","Insatisfatório – extensão de rede 2024 ausente","Calculado")))</f>
        <v>Calculado</v>
      </c>
    </row>
    <row r="17" spans="1:34" ht="15" customHeight="1" x14ac:dyDescent="0.35">
      <c r="A17" s="12">
        <v>3135506</v>
      </c>
      <c r="B17" s="12" t="s">
        <v>119</v>
      </c>
      <c r="C17" s="13">
        <f>Base_SINISA_Agua!M17</f>
        <v>595.94000000000005</v>
      </c>
      <c r="D17" s="13">
        <f>Base_SINISA_Agua!N17</f>
        <v>0</v>
      </c>
      <c r="E17" s="13">
        <f>Base_SINISA_Agua!P17</f>
        <v>55</v>
      </c>
      <c r="F17" s="13">
        <f>Base_SINISA_Agua!Q17</f>
        <v>375</v>
      </c>
      <c r="G17" s="13">
        <f>Base_SINISA_Agua!O17</f>
        <v>0</v>
      </c>
      <c r="H17" s="13">
        <f>Base_SINISA_Agua!K17</f>
        <v>2550</v>
      </c>
      <c r="I17" s="13">
        <f>IF(Base_SINISA_2023!C17="Ausente","",Base_SINISA_2023!E17)</f>
        <v>2494</v>
      </c>
      <c r="J17" s="26">
        <f>IF(Base_SINISA_Agua!$C17="Ausente","n.c.",IF(I17="","n.c.",IF(H17="","n.c.",IF(C17="","n.c.",IF(H17+I17=0,"n.c.",(C17+N(D17)-N(E17)-N(F17)-N(G17))*1000000/(((H17+I17)/2)*365))))))</f>
        <v>180.26571648941376</v>
      </c>
      <c r="K17" s="13" t="str">
        <f>IF(Base_SINISA_Agua!$C17="Ausente","Insatisfatório (nota 5)",IF(C17="","Insatisfatório – vol. produzido ausente",IF(I17="","Não calculado – falta ano-1 (nota 1)",IF(OR(D17="",E17="",F17="",G17=""),"Ressalva – parcela ausente = zero (nota 4)","Calculado"))))</f>
        <v>Calculado</v>
      </c>
      <c r="L17" s="13">
        <f>Base_SINISA_Agua!V17</f>
        <v>0</v>
      </c>
      <c r="M17" s="13">
        <f>Base_SINISA_Agua!Y17</f>
        <v>0</v>
      </c>
      <c r="N17" s="13">
        <f>Base_SINISA_Agua!G17+Base_SINISA_Agua!H17</f>
        <v>4750</v>
      </c>
      <c r="O17" s="13">
        <f>IF(Base_SINISA_2023!C17="Ausente","",Base_SINISA_2023!F17)</f>
        <v>2684</v>
      </c>
      <c r="P17" s="27">
        <f>IF(Base_SINISA_Agua!$C17="Ausente","n.c.",IF(O17="","n.c.",IF(N17="","n.c.",IF(N17+O17=0,"n.c.",(N(L17)+N(M17))/((N17+O17)/2)))))</f>
        <v>0</v>
      </c>
      <c r="Q17" s="13" t="str">
        <f>IF(Base_SINISA_Agua!$C17="Ausente","Insatisfatório (nota 5)",IF(O17="","Não calculado – falta ano-1 (nota 1)","Calculado (nota 6: &gt;100% é válido)"))</f>
        <v>Calculado (nota 6: &gt;100% é válido)</v>
      </c>
      <c r="R17" s="19"/>
      <c r="S17" s="19"/>
      <c r="T17" s="27" t="str">
        <f t="shared" si="0"/>
        <v>n.c.</v>
      </c>
      <c r="U17" s="13" t="str">
        <f t="shared" si="1"/>
        <v>Insatisfatório – sem coleta no SINISA (nota 2)</v>
      </c>
      <c r="V17" s="19"/>
      <c r="W17" s="19"/>
      <c r="X17" s="27" t="str">
        <f t="shared" si="2"/>
        <v>n.c.</v>
      </c>
      <c r="Y17" s="13" t="str">
        <f t="shared" si="3"/>
        <v>Insatisfatório – sem coleta no SINISA (nota 2)</v>
      </c>
      <c r="Z17" s="13">
        <f>Base_SINISA_Esgoto!M17</f>
        <v>47</v>
      </c>
      <c r="AA17" s="13">
        <f>Base_SINISA_Esgoto!N17</f>
        <v>15</v>
      </c>
      <c r="AB17" s="28">
        <f t="shared" si="4"/>
        <v>0.31914893617021278</v>
      </c>
      <c r="AC17" s="13" t="str">
        <f>IF(Base_SINISA_Esgoto!$C17="Ausente","Insatisfatório (nota 5)",IF(OR(Z17="",Z17=0),"Insatisfatório – sem extravasamento reparado","Calculado"))</f>
        <v>Calculado</v>
      </c>
      <c r="AD17" s="13">
        <f>Base_SINISA_Esgoto!L17</f>
        <v>120</v>
      </c>
      <c r="AE17" s="13">
        <f>Base_SINISA_Esgoto!T17</f>
        <v>16.260000000000002</v>
      </c>
      <c r="AF17" s="13">
        <f>IF(Base_SINISA_Esgoto_2023!C17="Ausente","",Base_SINISA_Esgoto_2023!E17)</f>
        <v>16.260000000000002</v>
      </c>
      <c r="AG17" s="29">
        <f>IF(Base_SINISA_Esgoto!$C17="Ausente","n.c.",IF(AE17="","n.c.",IF(AF17="","n.c.",IF(AE17+AF17=0,"n.c.",AD17/((AE17+AF17)/2)))))</f>
        <v>7.3800738007380069</v>
      </c>
      <c r="AH17" s="13" t="str">
        <f>IF(Base_SINISA_Esgoto!$C17="Ausente","Insatisfatório (nota 5)",IF(AF17="","Não calculado – falta ano-1 (nota 1)",IF(AE17="","Insatisfatório – extensão de rede 2024 ausente","Calculado")))</f>
        <v>Calculado</v>
      </c>
    </row>
    <row r="18" spans="1:34" ht="15" customHeight="1" x14ac:dyDescent="0.35">
      <c r="A18" s="12">
        <v>3137700</v>
      </c>
      <c r="B18" s="12" t="s">
        <v>121</v>
      </c>
      <c r="C18" s="13">
        <f>Base_SINISA_Agua!M18</f>
        <v>1028</v>
      </c>
      <c r="D18" s="13">
        <f>Base_SINISA_Agua!N18</f>
        <v>0</v>
      </c>
      <c r="E18" s="13">
        <f>Base_SINISA_Agua!P18</f>
        <v>106.6</v>
      </c>
      <c r="F18" s="13">
        <f>Base_SINISA_Agua!Q18</f>
        <v>634.52</v>
      </c>
      <c r="G18" s="13">
        <f>Base_SINISA_Agua!O18</f>
        <v>0</v>
      </c>
      <c r="H18" s="13">
        <f>Base_SINISA_Agua!K18</f>
        <v>3380</v>
      </c>
      <c r="I18" s="13">
        <f>IF(Base_SINISA_2023!C18="Ausente","",Base_SINISA_2023!E18)</f>
        <v>3335</v>
      </c>
      <c r="J18" s="26">
        <f>IF(Base_SINISA_Agua!$C18="Ausente","n.c.",IF(I18="","n.c.",IF(H18="","n.c.",IF(C18="","n.c.",IF(H18+I18=0,"n.c.",(C18+N(D18)-N(E18)-N(F18)-N(G18))*1000000/(((H18+I18)/2)*365))))))</f>
        <v>234.09459500810902</v>
      </c>
      <c r="K18" s="13" t="str">
        <f>IF(Base_SINISA_Agua!$C18="Ausente","Insatisfatório (nota 5)",IF(C18="","Insatisfatório – vol. produzido ausente",IF(I18="","Não calculado – falta ano-1 (nota 1)",IF(OR(D18="",E18="",F18="",G18=""),"Ressalva – parcela ausente = zero (nota 4)","Calculado"))))</f>
        <v>Calculado</v>
      </c>
      <c r="L18" s="13">
        <f>Base_SINISA_Agua!V18</f>
        <v>150</v>
      </c>
      <c r="M18" s="13">
        <f>Base_SINISA_Agua!Y18</f>
        <v>150</v>
      </c>
      <c r="N18" s="13">
        <f>Base_SINISA_Agua!G18+Base_SINISA_Agua!H18</f>
        <v>3929</v>
      </c>
      <c r="O18" s="13">
        <f>IF(Base_SINISA_2023!C18="Ausente","",Base_SINISA_2023!F18)</f>
        <v>3844</v>
      </c>
      <c r="P18" s="27">
        <f>IF(Base_SINISA_Agua!$C18="Ausente","n.c.",IF(O18="","n.c.",IF(N18="","n.c.",IF(N18+O18=0,"n.c.",(N(L18)+N(M18))/((N18+O18)/2)))))</f>
        <v>7.7190274025472794E-2</v>
      </c>
      <c r="Q18" s="13" t="str">
        <f>IF(Base_SINISA_Agua!$C18="Ausente","Insatisfatório (nota 5)",IF(O18="","Não calculado – falta ano-1 (nota 1)","Calculado (nota 6: &gt;100% é válido)"))</f>
        <v>Calculado (nota 6: &gt;100% é válido)</v>
      </c>
      <c r="R18" s="19"/>
      <c r="S18" s="19"/>
      <c r="T18" s="27" t="str">
        <f t="shared" si="0"/>
        <v>n.c.</v>
      </c>
      <c r="U18" s="13" t="str">
        <f t="shared" si="1"/>
        <v>Insatisfatório – sem coleta no SINISA (nota 2)</v>
      </c>
      <c r="V18" s="19"/>
      <c r="W18" s="19"/>
      <c r="X18" s="27" t="str">
        <f t="shared" si="2"/>
        <v>n.c.</v>
      </c>
      <c r="Y18" s="13" t="str">
        <f t="shared" si="3"/>
        <v>Insatisfatório – sem coleta no SINISA (nota 2)</v>
      </c>
      <c r="Z18" s="13">
        <f>Base_SINISA_Esgoto!M18</f>
        <v>68</v>
      </c>
      <c r="AA18" s="13">
        <f>Base_SINISA_Esgoto!N18</f>
        <v>204</v>
      </c>
      <c r="AB18" s="28">
        <f t="shared" si="4"/>
        <v>3</v>
      </c>
      <c r="AC18" s="13" t="str">
        <f>IF(Base_SINISA_Esgoto!$C18="Ausente","Insatisfatório (nota 5)",IF(OR(Z18="",Z18=0),"Insatisfatório – sem extravasamento reparado","Calculado"))</f>
        <v>Calculado</v>
      </c>
      <c r="AD18" s="13">
        <f>Base_SINISA_Esgoto!L18</f>
        <v>68</v>
      </c>
      <c r="AE18" s="13">
        <f>Base_SINISA_Esgoto!T18</f>
        <v>19</v>
      </c>
      <c r="AF18" s="13">
        <f>IF(Base_SINISA_Esgoto_2023!C18="Ausente","",Base_SINISA_Esgoto_2023!E18)</f>
        <v>19</v>
      </c>
      <c r="AG18" s="29">
        <f>IF(Base_SINISA_Esgoto!$C18="Ausente","n.c.",IF(AE18="","n.c.",IF(AF18="","n.c.",IF(AE18+AF18=0,"n.c.",AD18/((AE18+AF18)/2)))))</f>
        <v>3.5789473684210527</v>
      </c>
      <c r="AH18" s="13" t="str">
        <f>IF(Base_SINISA_Esgoto!$C18="Ausente","Insatisfatório (nota 5)",IF(AF18="","Não calculado – falta ano-1 (nota 1)",IF(AE18="","Insatisfatório – extensão de rede 2024 ausente","Calculado")))</f>
        <v>Calculado</v>
      </c>
    </row>
    <row r="19" spans="1:34" ht="15" customHeight="1" x14ac:dyDescent="0.35">
      <c r="A19" s="12">
        <v>3138609</v>
      </c>
      <c r="B19" s="12" t="s">
        <v>122</v>
      </c>
      <c r="C19" s="13">
        <f>Base_SINISA_Agua!M19</f>
        <v>1049</v>
      </c>
      <c r="D19" s="13">
        <f>Base_SINISA_Agua!N19</f>
        <v>0</v>
      </c>
      <c r="E19" s="13">
        <f>Base_SINISA_Agua!P19</f>
        <v>1</v>
      </c>
      <c r="F19" s="13">
        <f>Base_SINISA_Agua!Q19</f>
        <v>807.3</v>
      </c>
      <c r="G19" s="13">
        <f>Base_SINISA_Agua!O19</f>
        <v>0</v>
      </c>
      <c r="H19" s="13">
        <f>Base_SINISA_Agua!K19</f>
        <v>7379</v>
      </c>
      <c r="I19" s="13">
        <f>IF(Base_SINISA_2023!C19="Ausente","",Base_SINISA_2023!E19)</f>
        <v>7214</v>
      </c>
      <c r="J19" s="26">
        <f>IF(Base_SINISA_Agua!$C19="Ausente","n.c.",IF(I19="","n.c.",IF(H19="","n.c.",IF(C19="","n.c.",IF(H19+I19=0,"n.c.",(C19+N(D19)-N(E19)-N(F19)-N(G19))*1000000/(((H19+I19)/2)*365))))))</f>
        <v>90.379230424795551</v>
      </c>
      <c r="K19" s="13" t="str">
        <f>IF(Base_SINISA_Agua!$C19="Ausente","Insatisfatório (nota 5)",IF(C19="","Insatisfatório – vol. produzido ausente",IF(I19="","Não calculado – falta ano-1 (nota 1)",IF(OR(D19="",E19="",F19="",G19=""),"Ressalva – parcela ausente = zero (nota 4)","Calculado"))))</f>
        <v>Calculado</v>
      </c>
      <c r="L19" s="13">
        <f>Base_SINISA_Agua!V19</f>
        <v>18000</v>
      </c>
      <c r="M19" s="13">
        <f>Base_SINISA_Agua!Y19</f>
        <v>18000</v>
      </c>
      <c r="N19" s="13">
        <f>Base_SINISA_Agua!G19+Base_SINISA_Agua!H19</f>
        <v>7629</v>
      </c>
      <c r="O19" s="13">
        <f>IF(Base_SINISA_2023!C19="Ausente","",Base_SINISA_2023!F19)</f>
        <v>7734</v>
      </c>
      <c r="P19" s="27">
        <f>IF(Base_SINISA_Agua!$C19="Ausente","n.c.",IF(O19="","n.c.",IF(N19="","n.c.",IF(N19+O19=0,"n.c.",(N(L19)+N(M19))/((N19+O19)/2)))))</f>
        <v>4.6865846514352665</v>
      </c>
      <c r="Q19" s="13" t="str">
        <f>IF(Base_SINISA_Agua!$C19="Ausente","Insatisfatório (nota 5)",IF(O19="","Não calculado – falta ano-1 (nota 1)","Calculado (nota 6: &gt;100% é válido)"))</f>
        <v>Calculado (nota 6: &gt;100% é válido)</v>
      </c>
      <c r="R19" s="19"/>
      <c r="S19" s="19"/>
      <c r="T19" s="27" t="str">
        <f t="shared" si="0"/>
        <v>n.c.</v>
      </c>
      <c r="U19" s="13" t="str">
        <f t="shared" si="1"/>
        <v>Insatisfatório – sem coleta no SINISA (nota 2)</v>
      </c>
      <c r="V19" s="19"/>
      <c r="W19" s="19"/>
      <c r="X19" s="27" t="str">
        <f t="shared" si="2"/>
        <v>n.c.</v>
      </c>
      <c r="Y19" s="13" t="str">
        <f t="shared" si="3"/>
        <v>Insatisfatório – sem coleta no SINISA (nota 2)</v>
      </c>
      <c r="Z19" s="13">
        <f>Base_SINISA_Esgoto!M19</f>
        <v>402</v>
      </c>
      <c r="AA19" s="13">
        <f>Base_SINISA_Esgoto!N19</f>
        <v>1206</v>
      </c>
      <c r="AB19" s="28">
        <f t="shared" si="4"/>
        <v>3</v>
      </c>
      <c r="AC19" s="13" t="str">
        <f>IF(Base_SINISA_Esgoto!$C19="Ausente","Insatisfatório (nota 5)",IF(OR(Z19="",Z19=0),"Insatisfatório – sem extravasamento reparado","Calculado"))</f>
        <v>Calculado</v>
      </c>
      <c r="AD19" s="13">
        <f>Base_SINISA_Esgoto!L19</f>
        <v>402</v>
      </c>
      <c r="AE19" s="13">
        <f>Base_SINISA_Esgoto!T19</f>
        <v>55</v>
      </c>
      <c r="AF19" s="13">
        <f>IF(Base_SINISA_Esgoto_2023!C19="Ausente","",Base_SINISA_Esgoto_2023!E19)</f>
        <v>37</v>
      </c>
      <c r="AG19" s="29">
        <f>IF(Base_SINISA_Esgoto!$C19="Ausente","n.c.",IF(AE19="","n.c.",IF(AF19="","n.c.",IF(AE19+AF19=0,"n.c.",AD19/((AE19+AF19)/2)))))</f>
        <v>8.7391304347826093</v>
      </c>
      <c r="AH19" s="13" t="str">
        <f>IF(Base_SINISA_Esgoto!$C19="Ausente","Insatisfatório (nota 5)",IF(AF19="","Não calculado – falta ano-1 (nota 1)",IF(AE19="","Insatisfatório – extensão de rede 2024 ausente","Calculado")))</f>
        <v>Calculado</v>
      </c>
    </row>
    <row r="20" spans="1:34" ht="15" customHeight="1" x14ac:dyDescent="0.35">
      <c r="A20" s="12">
        <v>3139409</v>
      </c>
      <c r="B20" s="12" t="s">
        <v>123</v>
      </c>
      <c r="C20" s="13">
        <f>Base_SINISA_Agua!M20</f>
        <v>5909.76</v>
      </c>
      <c r="D20" s="13">
        <f>Base_SINISA_Agua!N20</f>
        <v>0</v>
      </c>
      <c r="E20" s="13">
        <f>Base_SINISA_Agua!P20</f>
        <v>119.4</v>
      </c>
      <c r="F20" s="13">
        <f>Base_SINISA_Agua!Q20</f>
        <v>3918.53</v>
      </c>
      <c r="G20" s="13">
        <f>Base_SINISA_Agua!O20</f>
        <v>0</v>
      </c>
      <c r="H20" s="13">
        <f>Base_SINISA_Agua!K20</f>
        <v>18076</v>
      </c>
      <c r="I20" s="13">
        <f>IF(Base_SINISA_2023!C20="Ausente","",Base_SINISA_2023!E20)</f>
        <v>23635</v>
      </c>
      <c r="J20" s="26">
        <f>IF(Base_SINISA_Agua!$C20="Ausente","n.c.",IF(I20="","n.c.",IF(H20="","n.c.",IF(C20="","n.c.",IF(H20+I20=0,"n.c.",(C20+N(D20)-N(E20)-N(F20)-N(G20))*1000000/(((H20+I20)/2)*365))))))</f>
        <v>245.89683152468245</v>
      </c>
      <c r="K20" s="13" t="str">
        <f>IF(Base_SINISA_Agua!$C20="Ausente","Insatisfatório (nota 5)",IF(C20="","Insatisfatório – vol. produzido ausente",IF(I20="","Não calculado – falta ano-1 (nota 1)",IF(OR(D20="",E20="",F20="",G20=""),"Ressalva – parcela ausente = zero (nota 4)","Calculado"))))</f>
        <v>Calculado</v>
      </c>
      <c r="L20" s="13">
        <f>Base_SINISA_Agua!V20</f>
        <v>4500</v>
      </c>
      <c r="M20" s="13">
        <f>Base_SINISA_Agua!Y20</f>
        <v>0</v>
      </c>
      <c r="N20" s="13">
        <f>Base_SINISA_Agua!G20+Base_SINISA_Agua!H20</f>
        <v>28215</v>
      </c>
      <c r="O20" s="13">
        <f>IF(Base_SINISA_2023!C20="Ausente","",Base_SINISA_2023!F20)</f>
        <v>31743</v>
      </c>
      <c r="P20" s="27">
        <f>IF(Base_SINISA_Agua!$C20="Ausente","n.c.",IF(O20="","n.c.",IF(N20="","n.c.",IF(N20+O20=0,"n.c.",(N(L20)+N(M20))/((N20+O20)/2)))))</f>
        <v>0.15010507355148603</v>
      </c>
      <c r="Q20" s="13" t="str">
        <f>IF(Base_SINISA_Agua!$C20="Ausente","Insatisfatório (nota 5)",IF(O20="","Não calculado – falta ano-1 (nota 1)","Calculado (nota 6: &gt;100% é válido)"))</f>
        <v>Calculado (nota 6: &gt;100% é válido)</v>
      </c>
      <c r="R20" s="19"/>
      <c r="S20" s="19"/>
      <c r="T20" s="27" t="str">
        <f t="shared" si="0"/>
        <v>n.c.</v>
      </c>
      <c r="U20" s="13" t="str">
        <f t="shared" si="1"/>
        <v>Insatisfatório – sem coleta no SINISA (nota 2)</v>
      </c>
      <c r="V20" s="19"/>
      <c r="W20" s="19"/>
      <c r="X20" s="27" t="str">
        <f t="shared" si="2"/>
        <v>n.c.</v>
      </c>
      <c r="Y20" s="13" t="str">
        <f t="shared" si="3"/>
        <v>Insatisfatório – sem coleta no SINISA (nota 2)</v>
      </c>
      <c r="Z20" s="13">
        <f>Base_SINISA_Esgoto!M20</f>
        <v>1240</v>
      </c>
      <c r="AA20" s="13">
        <f>Base_SINISA_Esgoto!N20</f>
        <v>480</v>
      </c>
      <c r="AB20" s="28">
        <f t="shared" si="4"/>
        <v>0.38709677419354838</v>
      </c>
      <c r="AC20" s="13" t="str">
        <f>IF(Base_SINISA_Esgoto!$C20="Ausente","Insatisfatório (nota 5)",IF(OR(Z20="",Z20=0),"Insatisfatório – sem extravasamento reparado","Calculado"))</f>
        <v>Calculado</v>
      </c>
      <c r="AD20" s="13">
        <f>Base_SINISA_Esgoto!L20</f>
        <v>1240</v>
      </c>
      <c r="AE20" s="13">
        <f>Base_SINISA_Esgoto!T20</f>
        <v>172.35</v>
      </c>
      <c r="AF20" s="13">
        <f>IF(Base_SINISA_Esgoto_2023!C20="Ausente","",Base_SINISA_Esgoto_2023!E20)</f>
        <v>174</v>
      </c>
      <c r="AG20" s="29">
        <f>IF(Base_SINISA_Esgoto!$C20="Ausente","n.c.",IF(AE20="","n.c.",IF(AF20="","n.c.",IF(AE20+AF20=0,"n.c.",AD20/((AE20+AF20)/2)))))</f>
        <v>7.160386891872383</v>
      </c>
      <c r="AH20" s="13" t="str">
        <f>IF(Base_SINISA_Esgoto!$C20="Ausente","Insatisfatório (nota 5)",IF(AF20="","Não calculado – falta ano-1 (nota 1)",IF(AE20="","Insatisfatório – extensão de rede 2024 ausente","Calculado")))</f>
        <v>Calculado</v>
      </c>
    </row>
    <row r="21" spans="1:34" ht="15" customHeight="1" x14ac:dyDescent="0.35">
      <c r="A21" s="12">
        <v>3139508</v>
      </c>
      <c r="B21" s="12" t="s">
        <v>125</v>
      </c>
      <c r="C21" s="13">
        <f>Base_SINISA_Agua!M21</f>
        <v>1345.5</v>
      </c>
      <c r="D21" s="13">
        <f>Base_SINISA_Agua!N21</f>
        <v>0</v>
      </c>
      <c r="E21" s="13">
        <f>Base_SINISA_Agua!P21</f>
        <v>2.54</v>
      </c>
      <c r="F21" s="13">
        <f>Base_SINISA_Agua!Q21</f>
        <v>934.45</v>
      </c>
      <c r="G21" s="13">
        <f>Base_SINISA_Agua!O21</f>
        <v>0</v>
      </c>
      <c r="H21" s="13">
        <f>Base_SINISA_Agua!K21</f>
        <v>7085</v>
      </c>
      <c r="I21" s="13" t="str">
        <f>IF(Base_SINISA_2023!C21="Ausente","",Base_SINISA_2023!E21)</f>
        <v/>
      </c>
      <c r="J21" s="26" t="str">
        <f>IF(Base_SINISA_Agua!$C21="Ausente","n.c.",IF(I21="","n.c.",IF(H21="","n.c.",IF(C21="","n.c.",IF(H21+I21=0,"n.c.",(C21+N(D21)-N(E21)-N(F21)-N(G21))*1000000/(((H21+I21)/2)*365))))))</f>
        <v>n.c.</v>
      </c>
      <c r="K21" s="13" t="str">
        <f>IF(Base_SINISA_Agua!$C21="Ausente","Insatisfatório (nota 5)",IF(C21="","Insatisfatório – vol. produzido ausente",IF(I21="","Não calculado – falta ano-1 (nota 1)",IF(OR(D21="",E21="",F21="",G21=""),"Ressalva – parcela ausente = zero (nota 4)","Calculado"))))</f>
        <v>Não calculado – falta ano-1 (nota 1)</v>
      </c>
      <c r="L21" s="13">
        <f>Base_SINISA_Agua!V21</f>
        <v>7087</v>
      </c>
      <c r="M21" s="13">
        <f>Base_SINISA_Agua!Y21</f>
        <v>7087</v>
      </c>
      <c r="N21" s="13">
        <f>Base_SINISA_Agua!G21+Base_SINISA_Agua!H21</f>
        <v>8210</v>
      </c>
      <c r="O21" s="13" t="str">
        <f>IF(Base_SINISA_2023!C21="Ausente","",Base_SINISA_2023!F21)</f>
        <v/>
      </c>
      <c r="P21" s="27" t="str">
        <f>IF(Base_SINISA_Agua!$C21="Ausente","n.c.",IF(O21="","n.c.",IF(N21="","n.c.",IF(N21+O21=0,"n.c.",(N(L21)+N(M21))/((N21+O21)/2)))))</f>
        <v>n.c.</v>
      </c>
      <c r="Q21" s="13" t="str">
        <f>IF(Base_SINISA_Agua!$C21="Ausente","Insatisfatório (nota 5)",IF(O21="","Não calculado – falta ano-1 (nota 1)","Calculado (nota 6: &gt;100% é válido)"))</f>
        <v>Não calculado – falta ano-1 (nota 1)</v>
      </c>
      <c r="R21" s="19"/>
      <c r="S21" s="19"/>
      <c r="T21" s="27" t="str">
        <f t="shared" si="0"/>
        <v>n.c.</v>
      </c>
      <c r="U21" s="13" t="str">
        <f t="shared" si="1"/>
        <v>Insatisfatório – sem coleta no SINISA (nota 2)</v>
      </c>
      <c r="V21" s="19"/>
      <c r="W21" s="19"/>
      <c r="X21" s="27" t="str">
        <f t="shared" si="2"/>
        <v>n.c.</v>
      </c>
      <c r="Y21" s="13" t="str">
        <f t="shared" si="3"/>
        <v>Insatisfatório – sem coleta no SINISA (nota 2)</v>
      </c>
      <c r="Z21" s="13">
        <f>Base_SINISA_Esgoto!M21</f>
        <v>458</v>
      </c>
      <c r="AA21" s="13">
        <f>Base_SINISA_Esgoto!N21</f>
        <v>1230</v>
      </c>
      <c r="AB21" s="28">
        <f t="shared" si="4"/>
        <v>2.6855895196506552</v>
      </c>
      <c r="AC21" s="13" t="str">
        <f>IF(Base_SINISA_Esgoto!$C21="Ausente","Insatisfatório (nota 5)",IF(OR(Z21="",Z21=0),"Insatisfatório – sem extravasamento reparado","Calculado"))</f>
        <v>Calculado</v>
      </c>
      <c r="AD21" s="13">
        <f>Base_SINISA_Esgoto!L21</f>
        <v>458</v>
      </c>
      <c r="AE21" s="13">
        <f>Base_SINISA_Esgoto!T21</f>
        <v>56.7</v>
      </c>
      <c r="AF21" s="13" t="str">
        <f>IF(Base_SINISA_Esgoto_2023!C21="Ausente","",Base_SINISA_Esgoto_2023!E21)</f>
        <v/>
      </c>
      <c r="AG21" s="29" t="str">
        <f>IF(Base_SINISA_Esgoto!$C21="Ausente","n.c.",IF(AE21="","n.c.",IF(AF21="","n.c.",IF(AE21+AF21=0,"n.c.",AD21/((AE21+AF21)/2)))))</f>
        <v>n.c.</v>
      </c>
      <c r="AH21" s="13" t="str">
        <f>IF(Base_SINISA_Esgoto!$C21="Ausente","Insatisfatório (nota 5)",IF(AF21="","Não calculado – falta ano-1 (nota 1)",IF(AE21="","Insatisfatório – extensão de rede 2024 ausente","Calculado")))</f>
        <v>Não calculado – falta ano-1 (nota 1)</v>
      </c>
    </row>
    <row r="22" spans="1:34" ht="15" customHeight="1" x14ac:dyDescent="0.35">
      <c r="A22" s="12">
        <v>3139607</v>
      </c>
      <c r="B22" s="12" t="s">
        <v>126</v>
      </c>
      <c r="C22" s="13">
        <f>Base_SINISA_Agua!M22</f>
        <v>2706</v>
      </c>
      <c r="D22" s="13">
        <f>Base_SINISA_Agua!N22</f>
        <v>0</v>
      </c>
      <c r="E22" s="13">
        <f>Base_SINISA_Agua!P22</f>
        <v>149.4</v>
      </c>
      <c r="F22" s="13">
        <f>Base_SINISA_Agua!Q22</f>
        <v>1933.36</v>
      </c>
      <c r="G22" s="13">
        <f>Base_SINISA_Agua!O22</f>
        <v>0</v>
      </c>
      <c r="H22" s="13">
        <f>Base_SINISA_Agua!K22</f>
        <v>9998</v>
      </c>
      <c r="I22" s="13">
        <f>IF(Base_SINISA_2023!C22="Ausente","",Base_SINISA_2023!E22)</f>
        <v>9779</v>
      </c>
      <c r="J22" s="26">
        <f>IF(Base_SINISA_Agua!$C22="Ausente","n.c.",IF(I22="","n.c.",IF(H22="","n.c.",IF(C22="","n.c.",IF(H22+I22=0,"n.c.",(C22+N(D22)-N(E22)-N(F22)-N(G22))*1000000/(((H22+I22)/2)*365))))))</f>
        <v>172.67602258331075</v>
      </c>
      <c r="K22" s="13" t="str">
        <f>IF(Base_SINISA_Agua!$C22="Ausente","Insatisfatório (nota 5)",IF(C22="","Insatisfatório – vol. produzido ausente",IF(I22="","Não calculado – falta ano-1 (nota 1)",IF(OR(D22="",E22="",F22="",G22=""),"Ressalva – parcela ausente = zero (nota 4)","Calculado"))))</f>
        <v>Calculado</v>
      </c>
      <c r="L22" s="13">
        <f>Base_SINISA_Agua!V22</f>
        <v>0</v>
      </c>
      <c r="M22" s="13">
        <f>Base_SINISA_Agua!Y22</f>
        <v>0</v>
      </c>
      <c r="N22" s="13">
        <f>Base_SINISA_Agua!G22+Base_SINISA_Agua!H22</f>
        <v>10099</v>
      </c>
      <c r="O22" s="13">
        <f>IF(Base_SINISA_2023!C22="Ausente","",Base_SINISA_2023!F22)</f>
        <v>9890</v>
      </c>
      <c r="P22" s="27">
        <f>IF(Base_SINISA_Agua!$C22="Ausente","n.c.",IF(O22="","n.c.",IF(N22="","n.c.",IF(N22+O22=0,"n.c.",(N(L22)+N(M22))/((N22+O22)/2)))))</f>
        <v>0</v>
      </c>
      <c r="Q22" s="13" t="str">
        <f>IF(Base_SINISA_Agua!$C22="Ausente","Insatisfatório (nota 5)",IF(O22="","Não calculado – falta ano-1 (nota 1)","Calculado (nota 6: &gt;100% é válido)"))</f>
        <v>Calculado (nota 6: &gt;100% é válido)</v>
      </c>
      <c r="R22" s="19"/>
      <c r="S22" s="19"/>
      <c r="T22" s="27" t="str">
        <f t="shared" si="0"/>
        <v>n.c.</v>
      </c>
      <c r="U22" s="13" t="str">
        <f t="shared" si="1"/>
        <v>Insatisfatório – sem coleta no SINISA (nota 2)</v>
      </c>
      <c r="V22" s="19"/>
      <c r="W22" s="19"/>
      <c r="X22" s="27" t="str">
        <f t="shared" si="2"/>
        <v>n.c.</v>
      </c>
      <c r="Y22" s="13" t="str">
        <f t="shared" si="3"/>
        <v>Insatisfatório – sem coleta no SINISA (nota 2)</v>
      </c>
      <c r="Z22" s="13">
        <f>Base_SINISA_Esgoto!M22</f>
        <v>1045</v>
      </c>
      <c r="AA22" s="13">
        <f>Base_SINISA_Esgoto!N22</f>
        <v>1045</v>
      </c>
      <c r="AB22" s="28">
        <f t="shared" si="4"/>
        <v>1</v>
      </c>
      <c r="AC22" s="13" t="str">
        <f>IF(Base_SINISA_Esgoto!$C22="Ausente","Insatisfatório (nota 5)",IF(OR(Z22="",Z22=0),"Insatisfatório – sem extravasamento reparado","Calculado"))</f>
        <v>Calculado</v>
      </c>
      <c r="AD22" s="13">
        <f>Base_SINISA_Esgoto!L22</f>
        <v>1045</v>
      </c>
      <c r="AE22" s="13">
        <f>Base_SINISA_Esgoto!T22</f>
        <v>160</v>
      </c>
      <c r="AF22" s="13">
        <f>IF(Base_SINISA_Esgoto_2023!C22="Ausente","",Base_SINISA_Esgoto_2023!E22)</f>
        <v>160</v>
      </c>
      <c r="AG22" s="29">
        <f>IF(Base_SINISA_Esgoto!$C22="Ausente","n.c.",IF(AE22="","n.c.",IF(AF22="","n.c.",IF(AE22+AF22=0,"n.c.",AD22/((AE22+AF22)/2)))))</f>
        <v>6.53125</v>
      </c>
      <c r="AH22" s="13" t="str">
        <f>IF(Base_SINISA_Esgoto!$C22="Ausente","Insatisfatório (nota 5)",IF(AF22="","Não calculado – falta ano-1 (nota 1)",IF(AE22="","Insatisfatório – extensão de rede 2024 ausente","Calculado")))</f>
        <v>Calculado</v>
      </c>
    </row>
    <row r="23" spans="1:34" ht="15" customHeight="1" x14ac:dyDescent="0.35">
      <c r="A23" s="12">
        <v>3140001</v>
      </c>
      <c r="B23" s="12" t="s">
        <v>127</v>
      </c>
      <c r="C23" s="13">
        <f>Base_SINISA_Agua!M23</f>
        <v>6848.42</v>
      </c>
      <c r="D23" s="13">
        <f>Base_SINISA_Agua!N23</f>
        <v>0</v>
      </c>
      <c r="E23" s="13">
        <f>Base_SINISA_Agua!P23</f>
        <v>893.7</v>
      </c>
      <c r="F23" s="13">
        <f>Base_SINISA_Agua!Q23</f>
        <v>4484</v>
      </c>
      <c r="G23" s="13">
        <f>Base_SINISA_Agua!O23</f>
        <v>0</v>
      </c>
      <c r="H23" s="13">
        <f>Base_SINISA_Agua!K23</f>
        <v>20695</v>
      </c>
      <c r="I23" s="13">
        <f>IF(Base_SINISA_2023!C23="Ausente","",Base_SINISA_2023!E23)</f>
        <v>20508</v>
      </c>
      <c r="J23" s="26">
        <f>IF(Base_SINISA_Agua!$C23="Ausente","n.c.",IF(I23="","n.c.",IF(H23="","n.c.",IF(C23="","n.c.",IF(H23+I23=0,"n.c.",(C23+N(D23)-N(E23)-N(F23)-N(G23))*1000000/(((H23+I23)/2)*365))))))</f>
        <v>195.58623707078121</v>
      </c>
      <c r="K23" s="13" t="str">
        <f>IF(Base_SINISA_Agua!$C23="Ausente","Insatisfatório (nota 5)",IF(C23="","Insatisfatório – vol. produzido ausente",IF(I23="","Não calculado – falta ano-1 (nota 1)",IF(OR(D23="",E23="",F23="",G23=""),"Ressalva – parcela ausente = zero (nota 4)","Calculado"))))</f>
        <v>Calculado</v>
      </c>
      <c r="L23" s="13">
        <f>Base_SINISA_Agua!V23</f>
        <v>22767</v>
      </c>
      <c r="M23" s="13">
        <f>Base_SINISA_Agua!Y23</f>
        <v>0</v>
      </c>
      <c r="N23" s="13">
        <f>Base_SINISA_Agua!G23+Base_SINISA_Agua!H23</f>
        <v>21485</v>
      </c>
      <c r="O23" s="13">
        <f>IF(Base_SINISA_2023!C23="Ausente","",Base_SINISA_2023!F23)</f>
        <v>22800</v>
      </c>
      <c r="P23" s="27">
        <f>IF(Base_SINISA_Agua!$C23="Ausente","n.c.",IF(O23="","n.c.",IF(N23="","n.c.",IF(N23+O23=0,"n.c.",(N(L23)+N(M23))/((N23+O23)/2)))))</f>
        <v>1.0282036807045274</v>
      </c>
      <c r="Q23" s="13" t="str">
        <f>IF(Base_SINISA_Agua!$C23="Ausente","Insatisfatório (nota 5)",IF(O23="","Não calculado – falta ano-1 (nota 1)","Calculado (nota 6: &gt;100% é válido)"))</f>
        <v>Calculado (nota 6: &gt;100% é válido)</v>
      </c>
      <c r="R23" s="19"/>
      <c r="S23" s="19"/>
      <c r="T23" s="27" t="str">
        <f t="shared" si="0"/>
        <v>n.c.</v>
      </c>
      <c r="U23" s="13" t="str">
        <f t="shared" si="1"/>
        <v>Insatisfatório – sem coleta no SINISA (nota 2)</v>
      </c>
      <c r="V23" s="19"/>
      <c r="W23" s="19"/>
      <c r="X23" s="27" t="str">
        <f t="shared" si="2"/>
        <v>n.c.</v>
      </c>
      <c r="Y23" s="13" t="str">
        <f t="shared" si="3"/>
        <v>Insatisfatório – sem coleta no SINISA (nota 2)</v>
      </c>
      <c r="Z23" s="13">
        <f>Base_SINISA_Esgoto!M23</f>
        <v>757</v>
      </c>
      <c r="AA23" s="13">
        <f>Base_SINISA_Esgoto!N23</f>
        <v>4</v>
      </c>
      <c r="AB23" s="28">
        <f t="shared" si="4"/>
        <v>5.2840158520475562E-3</v>
      </c>
      <c r="AC23" s="13" t="str">
        <f>IF(Base_SINISA_Esgoto!$C23="Ausente","Insatisfatório (nota 5)",IF(OR(Z23="",Z23=0),"Insatisfatório – sem extravasamento reparado","Calculado"))</f>
        <v>Calculado</v>
      </c>
      <c r="AD23" s="13">
        <f>Base_SINISA_Esgoto!L23</f>
        <v>988</v>
      </c>
      <c r="AE23" s="13">
        <f>Base_SINISA_Esgoto!T23</f>
        <v>322.55</v>
      </c>
      <c r="AF23" s="13">
        <f>IF(Base_SINISA_Esgoto_2023!C23="Ausente","",Base_SINISA_Esgoto_2023!E23)</f>
        <v>233.91</v>
      </c>
      <c r="AG23" s="29">
        <f>IF(Base_SINISA_Esgoto!$C23="Ausente","n.c.",IF(AE23="","n.c.",IF(AF23="","n.c.",IF(AE23+AF23=0,"n.c.",AD23/((AE23+AF23)/2)))))</f>
        <v>3.5510189411637851</v>
      </c>
      <c r="AH23" s="13" t="str">
        <f>IF(Base_SINISA_Esgoto!$C23="Ausente","Insatisfatório (nota 5)",IF(AF23="","Não calculado – falta ano-1 (nota 1)",IF(AE23="","Insatisfatório – extensão de rede 2024 ausente","Calculado")))</f>
        <v>Calculado</v>
      </c>
    </row>
    <row r="24" spans="1:34" ht="15" customHeight="1" x14ac:dyDescent="0.35">
      <c r="A24" s="12">
        <v>3143906</v>
      </c>
      <c r="B24" s="12" t="s">
        <v>129</v>
      </c>
      <c r="C24" s="13">
        <f>Base_SINISA_Agua!M24</f>
        <v>9791.3799999999992</v>
      </c>
      <c r="D24" s="13">
        <f>Base_SINISA_Agua!N24</f>
        <v>0</v>
      </c>
      <c r="E24" s="13">
        <f>Base_SINISA_Agua!P24</f>
        <v>9.4600000000000009</v>
      </c>
      <c r="F24" s="13">
        <f>Base_SINISA_Agua!Q24</f>
        <v>6268.7</v>
      </c>
      <c r="G24" s="13">
        <f>Base_SINISA_Agua!O24</f>
        <v>0</v>
      </c>
      <c r="H24" s="13">
        <f>Base_SINISA_Agua!K24</f>
        <v>39113</v>
      </c>
      <c r="I24" s="13">
        <f>IF(Base_SINISA_2023!C24="Ausente","",Base_SINISA_2023!E24)</f>
        <v>38394</v>
      </c>
      <c r="J24" s="26">
        <f>IF(Base_SINISA_Agua!$C24="Ausente","n.c.",IF(I24="","n.c.",IF(H24="","n.c.",IF(C24="","n.c.",IF(H24+I24=0,"n.c.",(C24+N(D24)-N(E24)-N(F24)-N(G24))*1000000/(((H24+I24)/2)*365))))))</f>
        <v>248.37137997787565</v>
      </c>
      <c r="K24" s="13" t="str">
        <f>IF(Base_SINISA_Agua!$C24="Ausente","Insatisfatório (nota 5)",IF(C24="","Insatisfatório – vol. produzido ausente",IF(I24="","Não calculado – falta ano-1 (nota 1)",IF(OR(D24="",E24="",F24="",G24=""),"Ressalva – parcela ausente = zero (nota 4)","Calculado"))))</f>
        <v>Calculado</v>
      </c>
      <c r="L24" s="13">
        <f>Base_SINISA_Agua!V24</f>
        <v>116370</v>
      </c>
      <c r="M24" s="13">
        <f>Base_SINISA_Agua!Y24</f>
        <v>0</v>
      </c>
      <c r="N24" s="13">
        <f>Base_SINISA_Agua!G24+Base_SINISA_Agua!H24</f>
        <v>45504</v>
      </c>
      <c r="O24" s="13">
        <f>IF(Base_SINISA_2023!C24="Ausente","",Base_SINISA_2023!F24)</f>
        <v>44719</v>
      </c>
      <c r="P24" s="27">
        <f>IF(Base_SINISA_Agua!$C24="Ausente","n.c.",IF(O24="","n.c.",IF(N24="","n.c.",IF(N24+O24=0,"n.c.",(N(L24)+N(M24))/((N24+O24)/2)))))</f>
        <v>2.5796083038693016</v>
      </c>
      <c r="Q24" s="13" t="str">
        <f>IF(Base_SINISA_Agua!$C24="Ausente","Insatisfatório (nota 5)",IF(O24="","Não calculado – falta ano-1 (nota 1)","Calculado (nota 6: &gt;100% é válido)"))</f>
        <v>Calculado (nota 6: &gt;100% é válido)</v>
      </c>
      <c r="R24" s="19"/>
      <c r="S24" s="19"/>
      <c r="T24" s="27" t="str">
        <f t="shared" si="0"/>
        <v>n.c.</v>
      </c>
      <c r="U24" s="13" t="str">
        <f t="shared" si="1"/>
        <v>Insatisfatório – sem coleta no SINISA (nota 2)</v>
      </c>
      <c r="V24" s="19"/>
      <c r="W24" s="19"/>
      <c r="X24" s="27" t="str">
        <f t="shared" si="2"/>
        <v>n.c.</v>
      </c>
      <c r="Y24" s="13" t="str">
        <f t="shared" si="3"/>
        <v>Insatisfatório – sem coleta no SINISA (nota 2)</v>
      </c>
      <c r="Z24" s="13">
        <f>Base_SINISA_Esgoto!M24</f>
        <v>2096</v>
      </c>
      <c r="AA24" s="13">
        <f>Base_SINISA_Esgoto!N24</f>
        <v>1966</v>
      </c>
      <c r="AB24" s="28">
        <f t="shared" si="4"/>
        <v>0.93797709923664119</v>
      </c>
      <c r="AC24" s="13" t="str">
        <f>IF(Base_SINISA_Esgoto!$C24="Ausente","Insatisfatório (nota 5)",IF(OR(Z24="",Z24=0),"Insatisfatório – sem extravasamento reparado","Calculado"))</f>
        <v>Calculado</v>
      </c>
      <c r="AD24" s="13">
        <f>Base_SINISA_Esgoto!L24</f>
        <v>2592</v>
      </c>
      <c r="AE24" s="13">
        <f>Base_SINISA_Esgoto!T24</f>
        <v>492.76</v>
      </c>
      <c r="AF24" s="13">
        <f>IF(Base_SINISA_Esgoto_2023!C24="Ausente","",Base_SINISA_Esgoto_2023!E24)</f>
        <v>489.73</v>
      </c>
      <c r="AG24" s="29">
        <f>IF(Base_SINISA_Esgoto!$C24="Ausente","n.c.",IF(AE24="","n.c.",IF(AF24="","n.c.",IF(AE24+AF24=0,"n.c.",AD24/((AE24+AF24)/2)))))</f>
        <v>5.2763895815733495</v>
      </c>
      <c r="AH24" s="13" t="str">
        <f>IF(Base_SINISA_Esgoto!$C24="Ausente","Insatisfatório (nota 5)",IF(AF24="","Não calculado – falta ano-1 (nota 1)",IF(AE24="","Insatisfatório – extensão de rede 2024 ausente","Calculado")))</f>
        <v>Calculado</v>
      </c>
    </row>
    <row r="25" spans="1:34" ht="15" customHeight="1" x14ac:dyDescent="0.35">
      <c r="A25" s="12">
        <v>3145851</v>
      </c>
      <c r="B25" s="12" t="s">
        <v>131</v>
      </c>
      <c r="C25" s="13">
        <f>Base_SINISA_Agua!M25</f>
        <v>0</v>
      </c>
      <c r="D25" s="13">
        <f>Base_SINISA_Agua!N25</f>
        <v>0</v>
      </c>
      <c r="E25" s="13">
        <f>Base_SINISA_Agua!P25</f>
        <v>0</v>
      </c>
      <c r="F25" s="13">
        <f>Base_SINISA_Agua!Q25</f>
        <v>0</v>
      </c>
      <c r="G25" s="13">
        <f>Base_SINISA_Agua!O25</f>
        <v>0</v>
      </c>
      <c r="H25" s="13">
        <f>Base_SINISA_Agua!K25</f>
        <v>0</v>
      </c>
      <c r="I25" s="13">
        <f>IF(Base_SINISA_2023!C25="Ausente","",Base_SINISA_2023!E25)</f>
        <v>1264</v>
      </c>
      <c r="J25" s="26" t="str">
        <f>IF(Base_SINISA_Agua!$C25="Ausente","n.c.",IF(I25="","n.c.",IF(H25="","n.c.",IF(C25="","n.c.",IF(H25+I25=0,"n.c.",(C25+N(D25)-N(E25)-N(F25)-N(G25))*1000000/(((H25+I25)/2)*365))))))</f>
        <v>n.c.</v>
      </c>
      <c r="K25" s="13" t="str">
        <f>IF(Base_SINISA_Agua!$C25="Ausente","Insatisfatório (nota 5)",IF(C25="","Insatisfatório – vol. produzido ausente",IF(I25="","Não calculado – falta ano-1 (nota 1)",IF(OR(D25="",E25="",F25="",G25=""),"Ressalva – parcela ausente = zero (nota 4)","Calculado"))))</f>
        <v>Insatisfatório (nota 5)</v>
      </c>
      <c r="L25" s="13">
        <f>Base_SINISA_Agua!V25</f>
        <v>0</v>
      </c>
      <c r="M25" s="13">
        <f>Base_SINISA_Agua!Y25</f>
        <v>0</v>
      </c>
      <c r="N25" s="13">
        <f>Base_SINISA_Agua!G25+Base_SINISA_Agua!H25</f>
        <v>0</v>
      </c>
      <c r="O25" s="13">
        <f>IF(Base_SINISA_2023!C25="Ausente","",Base_SINISA_2023!F25)</f>
        <v>1267</v>
      </c>
      <c r="P25" s="27" t="str">
        <f>IF(Base_SINISA_Agua!$C25="Ausente","n.c.",IF(O25="","n.c.",IF(N25="","n.c.",IF(N25+O25=0,"n.c.",(N(L25)+N(M25))/((N25+O25)/2)))))</f>
        <v>n.c.</v>
      </c>
      <c r="Q25" s="13" t="str">
        <f>IF(Base_SINISA_Agua!$C25="Ausente","Insatisfatório (nota 5)",IF(O25="","Não calculado – falta ano-1 (nota 1)","Calculado (nota 6: &gt;100% é válido)"))</f>
        <v>Insatisfatório (nota 5)</v>
      </c>
      <c r="R25" s="19"/>
      <c r="S25" s="19"/>
      <c r="T25" s="27" t="str">
        <f t="shared" si="0"/>
        <v>n.c.</v>
      </c>
      <c r="U25" s="13" t="str">
        <f t="shared" si="1"/>
        <v>Insatisfatório – sem coleta no SINISA (nota 2)</v>
      </c>
      <c r="V25" s="19"/>
      <c r="W25" s="19"/>
      <c r="X25" s="27" t="str">
        <f t="shared" si="2"/>
        <v>n.c.</v>
      </c>
      <c r="Y25" s="13" t="str">
        <f t="shared" si="3"/>
        <v>Insatisfatório – sem coleta no SINISA (nota 2)</v>
      </c>
      <c r="Z25" s="13">
        <f>Base_SINISA_Esgoto!M25</f>
        <v>5</v>
      </c>
      <c r="AA25" s="13">
        <f>Base_SINISA_Esgoto!N25</f>
        <v>50</v>
      </c>
      <c r="AB25" s="28">
        <f t="shared" si="4"/>
        <v>10</v>
      </c>
      <c r="AC25" s="13" t="str">
        <f>IF(Base_SINISA_Esgoto!$C25="Ausente","Insatisfatório (nota 5)",IF(OR(Z25="",Z25=0),"Insatisfatório – sem extravasamento reparado","Calculado"))</f>
        <v>Calculado</v>
      </c>
      <c r="AD25" s="13">
        <f>Base_SINISA_Esgoto!L25</f>
        <v>6</v>
      </c>
      <c r="AE25" s="13">
        <f>Base_SINISA_Esgoto!T25</f>
        <v>9.5</v>
      </c>
      <c r="AF25" s="13">
        <f>IF(Base_SINISA_Esgoto_2023!C25="Ausente","",Base_SINISA_Esgoto_2023!E25)</f>
        <v>9.5</v>
      </c>
      <c r="AG25" s="29">
        <f>IF(Base_SINISA_Esgoto!$C25="Ausente","n.c.",IF(AE25="","n.c.",IF(AF25="","n.c.",IF(AE25+AF25=0,"n.c.",AD25/((AE25+AF25)/2)))))</f>
        <v>0.63157894736842102</v>
      </c>
      <c r="AH25" s="13" t="str">
        <f>IF(Base_SINISA_Esgoto!$C25="Ausente","Insatisfatório (nota 5)",IF(AF25="","Não calculado – falta ano-1 (nota 1)",IF(AE25="","Insatisfatório – extensão de rede 2024 ausente","Calculado")))</f>
        <v>Calculado</v>
      </c>
    </row>
    <row r="26" spans="1:34" ht="15" customHeight="1" x14ac:dyDescent="0.35">
      <c r="A26" s="12">
        <v>3150604</v>
      </c>
      <c r="B26" s="12" t="s">
        <v>132</v>
      </c>
      <c r="C26" s="13">
        <f>Base_SINISA_Agua!M26</f>
        <v>334.36</v>
      </c>
      <c r="D26" s="13">
        <f>Base_SINISA_Agua!N26</f>
        <v>0</v>
      </c>
      <c r="E26" s="13">
        <f>Base_SINISA_Agua!P26</f>
        <v>1</v>
      </c>
      <c r="F26" s="13">
        <f>Base_SINISA_Agua!Q26</f>
        <v>300.92</v>
      </c>
      <c r="G26" s="13">
        <f>Base_SINISA_Agua!O26</f>
        <v>0</v>
      </c>
      <c r="H26" s="13">
        <f>Base_SINISA_Agua!K26</f>
        <v>2117</v>
      </c>
      <c r="I26" s="13">
        <f>IF(Base_SINISA_2023!C26="Ausente","",Base_SINISA_2023!E26)</f>
        <v>2557</v>
      </c>
      <c r="J26" s="26">
        <f>IF(Base_SINISA_Agua!$C26="Ausente","n.c.",IF(I26="","n.c.",IF(H26="","n.c.",IF(C26="","n.c.",IF(H26+I26=0,"n.c.",(C26+N(D26)-N(E26)-N(F26)-N(G26))*1000000/(((H26+I26)/2)*365))))))</f>
        <v>38.030257735886657</v>
      </c>
      <c r="K26" s="13" t="str">
        <f>IF(Base_SINISA_Agua!$C26="Ausente","Insatisfatório (nota 5)",IF(C26="","Insatisfatório – vol. produzido ausente",IF(I26="","Não calculado – falta ano-1 (nota 1)",IF(OR(D26="",E26="",F26="",G26=""),"Ressalva – parcela ausente = zero (nota 4)","Calculado"))))</f>
        <v>Calculado</v>
      </c>
      <c r="L26" s="13">
        <f>Base_SINISA_Agua!V26</f>
        <v>200</v>
      </c>
      <c r="M26" s="13">
        <f>Base_SINISA_Agua!Y26</f>
        <v>0</v>
      </c>
      <c r="N26" s="13">
        <f>Base_SINISA_Agua!G26+Base_SINISA_Agua!H26</f>
        <v>2763</v>
      </c>
      <c r="O26" s="13">
        <f>IF(Base_SINISA_2023!C26="Ausente","",Base_SINISA_2023!F26)</f>
        <v>2694</v>
      </c>
      <c r="P26" s="27">
        <f>IF(Base_SINISA_Agua!$C26="Ausente","n.c.",IF(O26="","n.c.",IF(N26="","n.c.",IF(N26+O26=0,"n.c.",(N(L26)+N(M26))/((N26+O26)/2)))))</f>
        <v>7.3300348176653846E-2</v>
      </c>
      <c r="Q26" s="13" t="str">
        <f>IF(Base_SINISA_Agua!$C26="Ausente","Insatisfatório (nota 5)",IF(O26="","Não calculado – falta ano-1 (nota 1)","Calculado (nota 6: &gt;100% é válido)"))</f>
        <v>Calculado (nota 6: &gt;100% é válido)</v>
      </c>
      <c r="R26" s="19"/>
      <c r="S26" s="19"/>
      <c r="T26" s="27" t="str">
        <f t="shared" si="0"/>
        <v>n.c.</v>
      </c>
      <c r="U26" s="13" t="str">
        <f t="shared" si="1"/>
        <v>Insatisfatório – sem coleta no SINISA (nota 2)</v>
      </c>
      <c r="V26" s="19"/>
      <c r="W26" s="19"/>
      <c r="X26" s="27" t="str">
        <f t="shared" si="2"/>
        <v>n.c.</v>
      </c>
      <c r="Y26" s="13" t="str">
        <f t="shared" si="3"/>
        <v>Insatisfatório – sem coleta no SINISA (nota 2)</v>
      </c>
      <c r="Z26" s="13">
        <f>Base_SINISA_Esgoto!M26</f>
        <v>20</v>
      </c>
      <c r="AA26" s="13">
        <f>Base_SINISA_Esgoto!N26</f>
        <v>50</v>
      </c>
      <c r="AB26" s="28">
        <f t="shared" si="4"/>
        <v>2.5</v>
      </c>
      <c r="AC26" s="13" t="str">
        <f>IF(Base_SINISA_Esgoto!$C26="Ausente","Insatisfatório (nota 5)",IF(OR(Z26="",Z26=0),"Insatisfatório – sem extravasamento reparado","Calculado"))</f>
        <v>Calculado</v>
      </c>
      <c r="AD26" s="13">
        <f>Base_SINISA_Esgoto!L26</f>
        <v>20</v>
      </c>
      <c r="AE26" s="13">
        <f>Base_SINISA_Esgoto!T26</f>
        <v>10</v>
      </c>
      <c r="AF26" s="13">
        <f>IF(Base_SINISA_Esgoto_2023!C26="Ausente","",Base_SINISA_Esgoto_2023!E26)</f>
        <v>10</v>
      </c>
      <c r="AG26" s="29">
        <f>IF(Base_SINISA_Esgoto!$C26="Ausente","n.c.",IF(AE26="","n.c.",IF(AF26="","n.c.",IF(AE26+AF26=0,"n.c.",AD26/((AE26+AF26)/2)))))</f>
        <v>2</v>
      </c>
      <c r="AH26" s="13" t="str">
        <f>IF(Base_SINISA_Esgoto!$C26="Ausente","Insatisfatório (nota 5)",IF(AF26="","Não calculado – falta ano-1 (nota 1)",IF(AE26="","Insatisfatório – extensão de rede 2024 ausente","Calculado")))</f>
        <v>Calculado</v>
      </c>
    </row>
    <row r="27" spans="1:34" ht="15" customHeight="1" x14ac:dyDescent="0.35">
      <c r="A27" s="12">
        <v>3151909</v>
      </c>
      <c r="B27" s="12" t="s">
        <v>134</v>
      </c>
      <c r="C27" s="13">
        <f>Base_SINISA_Agua!M27</f>
        <v>819.35</v>
      </c>
      <c r="D27" s="13">
        <f>Base_SINISA_Agua!N27</f>
        <v>0</v>
      </c>
      <c r="E27" s="13">
        <f>Base_SINISA_Agua!P27</f>
        <v>77.77</v>
      </c>
      <c r="F27" s="13">
        <f>Base_SINISA_Agua!Q27</f>
        <v>412.73</v>
      </c>
      <c r="G27" s="13">
        <f>Base_SINISA_Agua!O27</f>
        <v>0</v>
      </c>
      <c r="H27" s="13">
        <f>Base_SINISA_Agua!K27</f>
        <v>2824</v>
      </c>
      <c r="I27" s="13">
        <f>IF(Base_SINISA_2023!C27="Ausente","",Base_SINISA_2023!E27)</f>
        <v>2840</v>
      </c>
      <c r="J27" s="26">
        <f>IF(Base_SINISA_Agua!$C27="Ausente","n.c.",IF(I27="","n.c.",IF(H27="","n.c.",IF(C27="","n.c.",IF(H27+I27=0,"n.c.",(C27+N(D27)-N(E27)-N(F27)-N(G27))*1000000/(((H27+I27)/2)*365))))))</f>
        <v>318.13520625338595</v>
      </c>
      <c r="K27" s="13" t="str">
        <f>IF(Base_SINISA_Agua!$C27="Ausente","Insatisfatório (nota 5)",IF(C27="","Insatisfatório – vol. produzido ausente",IF(I27="","Não calculado – falta ano-1 (nota 1)",IF(OR(D27="",E27="",F27="",G27=""),"Ressalva – parcela ausente = zero (nota 4)","Calculado"))))</f>
        <v>Calculado</v>
      </c>
      <c r="L27" s="13">
        <f>Base_SINISA_Agua!V27</f>
        <v>500</v>
      </c>
      <c r="M27" s="13">
        <f>Base_SINISA_Agua!Y27</f>
        <v>0</v>
      </c>
      <c r="N27" s="13">
        <f>Base_SINISA_Agua!G27+Base_SINISA_Agua!H27</f>
        <v>3017</v>
      </c>
      <c r="O27" s="13">
        <f>IF(Base_SINISA_2023!C27="Ausente","",Base_SINISA_2023!F27)</f>
        <v>3054</v>
      </c>
      <c r="P27" s="27">
        <f>IF(Base_SINISA_Agua!$C27="Ausente","n.c.",IF(O27="","n.c.",IF(N27="","n.c.",IF(N27+O27=0,"n.c.",(N(L27)+N(M27))/((N27+O27)/2)))))</f>
        <v>0.1647175094712568</v>
      </c>
      <c r="Q27" s="13" t="str">
        <f>IF(Base_SINISA_Agua!$C27="Ausente","Insatisfatório (nota 5)",IF(O27="","Não calculado – falta ano-1 (nota 1)","Calculado (nota 6: &gt;100% é válido)"))</f>
        <v>Calculado (nota 6: &gt;100% é válido)</v>
      </c>
      <c r="R27" s="19"/>
      <c r="S27" s="19"/>
      <c r="T27" s="27" t="str">
        <f t="shared" si="0"/>
        <v>n.c.</v>
      </c>
      <c r="U27" s="13" t="str">
        <f t="shared" si="1"/>
        <v>Insatisfatório – sem coleta no SINISA (nota 2)</v>
      </c>
      <c r="V27" s="19"/>
      <c r="W27" s="19"/>
      <c r="X27" s="27" t="str">
        <f t="shared" si="2"/>
        <v>n.c.</v>
      </c>
      <c r="Y27" s="13" t="str">
        <f t="shared" si="3"/>
        <v>Insatisfatório – sem coleta no SINISA (nota 2)</v>
      </c>
      <c r="Z27" s="13">
        <f>Base_SINISA_Esgoto!M27</f>
        <v>12</v>
      </c>
      <c r="AA27" s="13">
        <f>Base_SINISA_Esgoto!N27</f>
        <v>60</v>
      </c>
      <c r="AB27" s="28">
        <f t="shared" si="4"/>
        <v>5</v>
      </c>
      <c r="AC27" s="13" t="str">
        <f>IF(Base_SINISA_Esgoto!$C27="Ausente","Insatisfatório (nota 5)",IF(OR(Z27="",Z27=0),"Insatisfatório – sem extravasamento reparado","Calculado"))</f>
        <v>Calculado</v>
      </c>
      <c r="AD27" s="13">
        <f>Base_SINISA_Esgoto!L27</f>
        <v>12</v>
      </c>
      <c r="AE27" s="13">
        <f>Base_SINISA_Esgoto!T27</f>
        <v>15</v>
      </c>
      <c r="AF27" s="13">
        <f>IF(Base_SINISA_Esgoto_2023!C27="Ausente","",Base_SINISA_Esgoto_2023!E27)</f>
        <v>0.5</v>
      </c>
      <c r="AG27" s="29">
        <f>IF(Base_SINISA_Esgoto!$C27="Ausente","n.c.",IF(AE27="","n.c.",IF(AF27="","n.c.",IF(AE27+AF27=0,"n.c.",AD27/((AE27+AF27)/2)))))</f>
        <v>1.5483870967741935</v>
      </c>
      <c r="AH27" s="13" t="str">
        <f>IF(Base_SINISA_Esgoto!$C27="Ausente","Insatisfatório (nota 5)",IF(AF27="","Não calculado – falta ano-1 (nota 1)",IF(AE27="","Insatisfatório – extensão de rede 2024 ausente","Calculado")))</f>
        <v>Calculado</v>
      </c>
    </row>
    <row r="28" spans="1:34" ht="15" customHeight="1" x14ac:dyDescent="0.35">
      <c r="A28" s="12">
        <v>3152105</v>
      </c>
      <c r="B28" s="12" t="s">
        <v>135</v>
      </c>
      <c r="C28" s="13">
        <f>Base_SINISA_Agua!M28</f>
        <v>7179.32</v>
      </c>
      <c r="D28" s="13">
        <f>Base_SINISA_Agua!N28</f>
        <v>0</v>
      </c>
      <c r="E28" s="13">
        <f>Base_SINISA_Agua!P28</f>
        <v>645.65</v>
      </c>
      <c r="F28" s="13">
        <f>Base_SINISA_Agua!Q28</f>
        <v>3457.41</v>
      </c>
      <c r="G28" s="13">
        <f>Base_SINISA_Agua!O28</f>
        <v>0</v>
      </c>
      <c r="H28" s="13">
        <f>Base_SINISA_Agua!K28</f>
        <v>18689</v>
      </c>
      <c r="I28" s="13">
        <f>IF(Base_SINISA_2023!C28="Ausente","",Base_SINISA_2023!E28)</f>
        <v>18344</v>
      </c>
      <c r="J28" s="26">
        <f>IF(Base_SINISA_Agua!$C28="Ausente","n.c.",IF(I28="","n.c.",IF(H28="","n.c.",IF(C28="","n.c.",IF(H28+I28=0,"n.c.",(C28+N(D28)-N(E28)-N(F28)-N(G28))*1000000/(((H28+I28)/2)*365))))))</f>
        <v>455.16753106910573</v>
      </c>
      <c r="K28" s="13" t="str">
        <f>IF(Base_SINISA_Agua!$C28="Ausente","Insatisfatório (nota 5)",IF(C28="","Insatisfatório – vol. produzido ausente",IF(I28="","Não calculado – falta ano-1 (nota 1)",IF(OR(D28="",E28="",F28="",G28=""),"Ressalva – parcela ausente = zero (nota 4)","Calculado"))))</f>
        <v>Calculado</v>
      </c>
      <c r="L28" s="13">
        <f>Base_SINISA_Agua!V28</f>
        <v>24066</v>
      </c>
      <c r="M28" s="13">
        <f>Base_SINISA_Agua!Y28</f>
        <v>17990</v>
      </c>
      <c r="N28" s="13">
        <f>Base_SINISA_Agua!G28+Base_SINISA_Agua!H28</f>
        <v>24066</v>
      </c>
      <c r="O28" s="13">
        <f>IF(Base_SINISA_2023!C28="Ausente","",Base_SINISA_2023!F28)</f>
        <v>23626</v>
      </c>
      <c r="P28" s="27">
        <f>IF(Base_SINISA_Agua!$C28="Ausente","n.c.",IF(O28="","n.c.",IF(N28="","n.c.",IF(N28+O28=0,"n.c.",(N(L28)+N(M28))/((N28+O28)/2)))))</f>
        <v>1.7636500880650843</v>
      </c>
      <c r="Q28" s="13" t="str">
        <f>IF(Base_SINISA_Agua!$C28="Ausente","Insatisfatório (nota 5)",IF(O28="","Não calculado – falta ano-1 (nota 1)","Calculado (nota 6: &gt;100% é válido)"))</f>
        <v>Calculado (nota 6: &gt;100% é válido)</v>
      </c>
      <c r="R28" s="19"/>
      <c r="S28" s="19"/>
      <c r="T28" s="27" t="str">
        <f t="shared" si="0"/>
        <v>n.c.</v>
      </c>
      <c r="U28" s="13" t="str">
        <f t="shared" si="1"/>
        <v>Insatisfatório – sem coleta no SINISA (nota 2)</v>
      </c>
      <c r="V28" s="19"/>
      <c r="W28" s="19"/>
      <c r="X28" s="27" t="str">
        <f t="shared" si="2"/>
        <v>n.c.</v>
      </c>
      <c r="Y28" s="13" t="str">
        <f t="shared" si="3"/>
        <v>Insatisfatório – sem coleta no SINISA (nota 2)</v>
      </c>
      <c r="Z28" s="13">
        <f>Base_SINISA_Esgoto!M28</f>
        <v>965</v>
      </c>
      <c r="AA28" s="13">
        <f>Base_SINISA_Esgoto!N28</f>
        <v>1112</v>
      </c>
      <c r="AB28" s="28">
        <f t="shared" si="4"/>
        <v>1.1523316062176165</v>
      </c>
      <c r="AC28" s="13" t="str">
        <f>IF(Base_SINISA_Esgoto!$C28="Ausente","Insatisfatório (nota 5)",IF(OR(Z28="",Z28=0),"Insatisfatório – sem extravasamento reparado","Calculado"))</f>
        <v>Calculado</v>
      </c>
      <c r="AD28" s="13">
        <f>Base_SINISA_Esgoto!L28</f>
        <v>965</v>
      </c>
      <c r="AE28" s="13">
        <f>Base_SINISA_Esgoto!T28</f>
        <v>410</v>
      </c>
      <c r="AF28" s="13">
        <f>IF(Base_SINISA_Esgoto_2023!C28="Ausente","",Base_SINISA_Esgoto_2023!E28)</f>
        <v>398</v>
      </c>
      <c r="AG28" s="29">
        <f>IF(Base_SINISA_Esgoto!$C28="Ausente","n.c.",IF(AE28="","n.c.",IF(AF28="","n.c.",IF(AE28+AF28=0,"n.c.",AD28/((AE28+AF28)/2)))))</f>
        <v>2.3886138613861387</v>
      </c>
      <c r="AH28" s="13" t="str">
        <f>IF(Base_SINISA_Esgoto!$C28="Ausente","Insatisfatório (nota 5)",IF(AF28="","Não calculado – falta ano-1 (nota 1)",IF(AE28="","Insatisfatório – extensão de rede 2024 ausente","Calculado")))</f>
        <v>Calculado</v>
      </c>
    </row>
    <row r="29" spans="1:34" ht="15" customHeight="1" x14ac:dyDescent="0.35">
      <c r="A29" s="12">
        <v>3154002</v>
      </c>
      <c r="B29" s="12" t="s">
        <v>137</v>
      </c>
      <c r="C29" s="13">
        <f>Base_SINISA_Agua!M29</f>
        <v>1457.42</v>
      </c>
      <c r="D29" s="13">
        <f>Base_SINISA_Agua!N29</f>
        <v>0</v>
      </c>
      <c r="E29" s="13">
        <f>Base_SINISA_Agua!P29</f>
        <v>17.579999999999998</v>
      </c>
      <c r="F29" s="13">
        <f>Base_SINISA_Agua!Q29</f>
        <v>1053.6500000000001</v>
      </c>
      <c r="G29" s="13">
        <f>Base_SINISA_Agua!O29</f>
        <v>0</v>
      </c>
      <c r="H29" s="13">
        <f>Base_SINISA_Agua!K29</f>
        <v>7673</v>
      </c>
      <c r="I29" s="13">
        <f>IF(Base_SINISA_2023!C29="Ausente","",Base_SINISA_2023!E29)</f>
        <v>7502</v>
      </c>
      <c r="J29" s="26">
        <f>IF(Base_SINISA_Agua!$C29="Ausente","n.c.",IF(I29="","n.c.",IF(H29="","n.c.",IF(C29="","n.c.",IF(H29+I29=0,"n.c.",(C29+N(D29)-N(E29)-N(F29)-N(G29))*1000000/(((H29+I29)/2)*365))))))</f>
        <v>139.44708988738691</v>
      </c>
      <c r="K29" s="13" t="str">
        <f>IF(Base_SINISA_Agua!$C29="Ausente","Insatisfatório (nota 5)",IF(C29="","Insatisfatório – vol. produzido ausente",IF(I29="","Não calculado – falta ano-1 (nota 1)",IF(OR(D29="",E29="",F29="",G29=""),"Ressalva – parcela ausente = zero (nota 4)","Calculado"))))</f>
        <v>Calculado</v>
      </c>
      <c r="L29" s="13">
        <f>Base_SINISA_Agua!V29</f>
        <v>86</v>
      </c>
      <c r="M29" s="13">
        <f>Base_SINISA_Agua!Y29</f>
        <v>86</v>
      </c>
      <c r="N29" s="13">
        <f>Base_SINISA_Agua!G29+Base_SINISA_Agua!H29</f>
        <v>7987</v>
      </c>
      <c r="O29" s="13">
        <f>IF(Base_SINISA_2023!C29="Ausente","",Base_SINISA_2023!F29)</f>
        <v>7806</v>
      </c>
      <c r="P29" s="27">
        <f>IF(Base_SINISA_Agua!$C29="Ausente","n.c.",IF(O29="","n.c.",IF(N29="","n.c.",IF(N29+O29=0,"n.c.",(N(L29)+N(M29))/((N29+O29)/2)))))</f>
        <v>2.1781802064205661E-2</v>
      </c>
      <c r="Q29" s="13" t="str">
        <f>IF(Base_SINISA_Agua!$C29="Ausente","Insatisfatório (nota 5)",IF(O29="","Não calculado – falta ano-1 (nota 1)","Calculado (nota 6: &gt;100% é válido)"))</f>
        <v>Calculado (nota 6: &gt;100% é válido)</v>
      </c>
      <c r="R29" s="19"/>
      <c r="S29" s="19"/>
      <c r="T29" s="27" t="str">
        <f t="shared" si="0"/>
        <v>n.c.</v>
      </c>
      <c r="U29" s="13" t="str">
        <f t="shared" si="1"/>
        <v>Insatisfatório – sem coleta no SINISA (nota 2)</v>
      </c>
      <c r="V29" s="19"/>
      <c r="W29" s="19"/>
      <c r="X29" s="27" t="str">
        <f t="shared" si="2"/>
        <v>n.c.</v>
      </c>
      <c r="Y29" s="13" t="str">
        <f t="shared" si="3"/>
        <v>Insatisfatório – sem coleta no SINISA (nota 2)</v>
      </c>
      <c r="Z29" s="13">
        <f>Base_SINISA_Esgoto!M29</f>
        <v>73</v>
      </c>
      <c r="AA29" s="13">
        <f>Base_SINISA_Esgoto!N29</f>
        <v>143</v>
      </c>
      <c r="AB29" s="28">
        <f t="shared" si="4"/>
        <v>1.9589041095890412</v>
      </c>
      <c r="AC29" s="13" t="str">
        <f>IF(Base_SINISA_Esgoto!$C29="Ausente","Insatisfatório (nota 5)",IF(OR(Z29="",Z29=0),"Insatisfatório – sem extravasamento reparado","Calculado"))</f>
        <v>Calculado</v>
      </c>
      <c r="AD29" s="13">
        <f>Base_SINISA_Esgoto!L29</f>
        <v>73</v>
      </c>
      <c r="AE29" s="13">
        <f>Base_SINISA_Esgoto!T29</f>
        <v>59.22</v>
      </c>
      <c r="AF29" s="13">
        <f>IF(Base_SINISA_Esgoto_2023!C29="Ausente","",Base_SINISA_Esgoto_2023!E29)</f>
        <v>59.18</v>
      </c>
      <c r="AG29" s="29">
        <f>IF(Base_SINISA_Esgoto!$C29="Ausente","n.c.",IF(AE29="","n.c.",IF(AF29="","n.c.",IF(AE29+AF29=0,"n.c.",AD29/((AE29+AF29)/2)))))</f>
        <v>1.2331081081081081</v>
      </c>
      <c r="AH29" s="13" t="str">
        <f>IF(Base_SINISA_Esgoto!$C29="Ausente","Insatisfatório (nota 5)",IF(AF29="","Não calculado – falta ano-1 (nota 1)",IF(AE29="","Insatisfatório – extensão de rede 2024 ausente","Calculado")))</f>
        <v>Calculado</v>
      </c>
    </row>
    <row r="30" spans="1:34" ht="15" customHeight="1" x14ac:dyDescent="0.35">
      <c r="A30" s="12">
        <v>3154101</v>
      </c>
      <c r="B30" s="12" t="s">
        <v>138</v>
      </c>
      <c r="C30" s="13">
        <f>Base_SINISA_Agua!M30</f>
        <v>732.78</v>
      </c>
      <c r="D30" s="13">
        <f>Base_SINISA_Agua!N30</f>
        <v>0</v>
      </c>
      <c r="E30" s="13">
        <f>Base_SINISA_Agua!P30</f>
        <v>18.2</v>
      </c>
      <c r="F30" s="13">
        <f>Base_SINISA_Agua!Q30</f>
        <v>508.76</v>
      </c>
      <c r="G30" s="13">
        <f>Base_SINISA_Agua!O30</f>
        <v>0</v>
      </c>
      <c r="H30" s="13">
        <f>Base_SINISA_Agua!K30</f>
        <v>3210</v>
      </c>
      <c r="I30" s="13">
        <f>IF(Base_SINISA_2023!C30="Ausente","",Base_SINISA_2023!E30)</f>
        <v>3190</v>
      </c>
      <c r="J30" s="26">
        <f>IF(Base_SINISA_Agua!$C30="Ausente","n.c.",IF(I30="","n.c.",IF(H30="","n.c.",IF(C30="","n.c.",IF(H30+I30=0,"n.c.",(C30+N(D30)-N(E30)-N(F30)-N(G30))*1000000/(((H30+I30)/2)*365))))))</f>
        <v>176.21575342465749</v>
      </c>
      <c r="K30" s="13" t="str">
        <f>IF(Base_SINISA_Agua!$C30="Ausente","Insatisfatório (nota 5)",IF(C30="","Insatisfatório – vol. produzido ausente",IF(I30="","Não calculado – falta ano-1 (nota 1)",IF(OR(D30="",E30="",F30="",G30=""),"Ressalva – parcela ausente = zero (nota 4)","Calculado"))))</f>
        <v>Calculado</v>
      </c>
      <c r="L30" s="13">
        <f>Base_SINISA_Agua!V30</f>
        <v>3210</v>
      </c>
      <c r="M30" s="13">
        <f>Base_SINISA_Agua!Y30</f>
        <v>0</v>
      </c>
      <c r="N30" s="13">
        <f>Base_SINISA_Agua!G30+Base_SINISA_Agua!H30</f>
        <v>3210</v>
      </c>
      <c r="O30" s="13">
        <f>IF(Base_SINISA_2023!C30="Ausente","",Base_SINISA_2023!F30)</f>
        <v>3190</v>
      </c>
      <c r="P30" s="27">
        <f>IF(Base_SINISA_Agua!$C30="Ausente","n.c.",IF(O30="","n.c.",IF(N30="","n.c.",IF(N30+O30=0,"n.c.",(N(L30)+N(M30))/((N30+O30)/2)))))</f>
        <v>1.003125</v>
      </c>
      <c r="Q30" s="13" t="str">
        <f>IF(Base_SINISA_Agua!$C30="Ausente","Insatisfatório (nota 5)",IF(O30="","Não calculado – falta ano-1 (nota 1)","Calculado (nota 6: &gt;100% é válido)"))</f>
        <v>Calculado (nota 6: &gt;100% é válido)</v>
      </c>
      <c r="R30" s="19"/>
      <c r="S30" s="19"/>
      <c r="T30" s="27" t="str">
        <f t="shared" si="0"/>
        <v>n.c.</v>
      </c>
      <c r="U30" s="13" t="str">
        <f t="shared" si="1"/>
        <v>Insatisfatório – sem coleta no SINISA (nota 2)</v>
      </c>
      <c r="V30" s="19"/>
      <c r="W30" s="19"/>
      <c r="X30" s="27" t="str">
        <f t="shared" si="2"/>
        <v>n.c.</v>
      </c>
      <c r="Y30" s="13" t="str">
        <f t="shared" si="3"/>
        <v>Insatisfatório – sem coleta no SINISA (nota 2)</v>
      </c>
      <c r="Z30" s="13">
        <f>Base_SINISA_Esgoto!M30</f>
        <v>400</v>
      </c>
      <c r="AA30" s="13">
        <f>Base_SINISA_Esgoto!N30</f>
        <v>7</v>
      </c>
      <c r="AB30" s="28">
        <f t="shared" si="4"/>
        <v>1.7500000000000002E-2</v>
      </c>
      <c r="AC30" s="13" t="str">
        <f>IF(Base_SINISA_Esgoto!$C30="Ausente","Insatisfatório (nota 5)",IF(OR(Z30="",Z30=0),"Insatisfatório – sem extravasamento reparado","Calculado"))</f>
        <v>Calculado</v>
      </c>
      <c r="AD30" s="13">
        <f>Base_SINISA_Esgoto!L30</f>
        <v>400</v>
      </c>
      <c r="AE30" s="13">
        <f>Base_SINISA_Esgoto!T30</f>
        <v>44</v>
      </c>
      <c r="AF30" s="13">
        <f>IF(Base_SINISA_Esgoto_2023!C30="Ausente","",Base_SINISA_Esgoto_2023!E30)</f>
        <v>27</v>
      </c>
      <c r="AG30" s="29">
        <f>IF(Base_SINISA_Esgoto!$C30="Ausente","n.c.",IF(AE30="","n.c.",IF(AF30="","n.c.",IF(AE30+AF30=0,"n.c.",AD30/((AE30+AF30)/2)))))</f>
        <v>11.267605633802816</v>
      </c>
      <c r="AH30" s="13" t="str">
        <f>IF(Base_SINISA_Esgoto!$C30="Ausente","Insatisfatório (nota 5)",IF(AF30="","Não calculado – falta ano-1 (nota 1)",IF(AE30="","Insatisfatório – extensão de rede 2024 ausente","Calculado")))</f>
        <v>Calculado</v>
      </c>
    </row>
    <row r="31" spans="1:34" ht="15" customHeight="1" x14ac:dyDescent="0.35">
      <c r="A31" s="12">
        <v>3154150</v>
      </c>
      <c r="B31" s="12" t="s">
        <v>139</v>
      </c>
      <c r="C31" s="13">
        <f>Base_SINISA_Agua!M31</f>
        <v>977.12</v>
      </c>
      <c r="D31" s="13">
        <f>Base_SINISA_Agua!N31</f>
        <v>0</v>
      </c>
      <c r="E31" s="13">
        <f>Base_SINISA_Agua!P31</f>
        <v>0.45</v>
      </c>
      <c r="F31" s="13">
        <f>Base_SINISA_Agua!Q31</f>
        <v>633.02</v>
      </c>
      <c r="G31" s="13">
        <f>Base_SINISA_Agua!O31</f>
        <v>0</v>
      </c>
      <c r="H31" s="13">
        <f>Base_SINISA_Agua!K31</f>
        <v>1958</v>
      </c>
      <c r="I31" s="13">
        <f>IF(Base_SINISA_2023!C31="Ausente","",Base_SINISA_2023!E31)</f>
        <v>1995</v>
      </c>
      <c r="J31" s="26">
        <f>IF(Base_SINISA_Agua!$C31="Ausente","n.c.",IF(I31="","n.c.",IF(H31="","n.c.",IF(C31="","n.c.",IF(H31+I31=0,"n.c.",(C31+N(D31)-N(E31)-N(F31)-N(G31))*1000000/(((H31+I31)/2)*365))))))</f>
        <v>476.35054354417832</v>
      </c>
      <c r="K31" s="13" t="str">
        <f>IF(Base_SINISA_Agua!$C31="Ausente","Insatisfatório (nota 5)",IF(C31="","Insatisfatório – vol. produzido ausente",IF(I31="","Não calculado – falta ano-1 (nota 1)",IF(OR(D31="",E31="",F31="",G31=""),"Ressalva – parcela ausente = zero (nota 4)","Calculado"))))</f>
        <v>Calculado</v>
      </c>
      <c r="L31" s="13">
        <f>Base_SINISA_Agua!V31</f>
        <v>2087</v>
      </c>
      <c r="M31" s="13">
        <f>Base_SINISA_Agua!Y31</f>
        <v>2087</v>
      </c>
      <c r="N31" s="13">
        <f>Base_SINISA_Agua!G31+Base_SINISA_Agua!H31</f>
        <v>2208</v>
      </c>
      <c r="O31" s="13">
        <f>IF(Base_SINISA_2023!C31="Ausente","",Base_SINISA_2023!F31)</f>
        <v>2015</v>
      </c>
      <c r="P31" s="27">
        <f>IF(Base_SINISA_Agua!$C31="Ausente","n.c.",IF(O31="","n.c.",IF(N31="","n.c.",IF(N31+O31=0,"n.c.",(N(L31)+N(M31))/((N31+O31)/2)))))</f>
        <v>1.9767937485200096</v>
      </c>
      <c r="Q31" s="13" t="str">
        <f>IF(Base_SINISA_Agua!$C31="Ausente","Insatisfatório (nota 5)",IF(O31="","Não calculado – falta ano-1 (nota 1)","Calculado (nota 6: &gt;100% é válido)"))</f>
        <v>Calculado (nota 6: &gt;100% é válido)</v>
      </c>
      <c r="R31" s="19"/>
      <c r="S31" s="19"/>
      <c r="T31" s="27" t="str">
        <f t="shared" si="0"/>
        <v>n.c.</v>
      </c>
      <c r="U31" s="13" t="str">
        <f t="shared" si="1"/>
        <v>Insatisfatório – sem coleta no SINISA (nota 2)</v>
      </c>
      <c r="V31" s="19"/>
      <c r="W31" s="19"/>
      <c r="X31" s="27" t="str">
        <f t="shared" si="2"/>
        <v>n.c.</v>
      </c>
      <c r="Y31" s="13" t="str">
        <f t="shared" si="3"/>
        <v>Insatisfatório – sem coleta no SINISA (nota 2)</v>
      </c>
      <c r="Z31" s="13">
        <f>Base_SINISA_Esgoto!M31</f>
        <v>24</v>
      </c>
      <c r="AA31" s="13">
        <f>Base_SINISA_Esgoto!N31</f>
        <v>4</v>
      </c>
      <c r="AB31" s="28">
        <f t="shared" si="4"/>
        <v>0.16666666666666666</v>
      </c>
      <c r="AC31" s="13" t="str">
        <f>IF(Base_SINISA_Esgoto!$C31="Ausente","Insatisfatório (nota 5)",IF(OR(Z31="",Z31=0),"Insatisfatório – sem extravasamento reparado","Calculado"))</f>
        <v>Calculado</v>
      </c>
      <c r="AD31" s="13">
        <f>Base_SINISA_Esgoto!L31</f>
        <v>26</v>
      </c>
      <c r="AE31" s="13">
        <f>Base_SINISA_Esgoto!T31</f>
        <v>20</v>
      </c>
      <c r="AF31" s="13">
        <f>IF(Base_SINISA_Esgoto_2023!C31="Ausente","",Base_SINISA_Esgoto_2023!E31)</f>
        <v>16</v>
      </c>
      <c r="AG31" s="29">
        <f>IF(Base_SINISA_Esgoto!$C31="Ausente","n.c.",IF(AE31="","n.c.",IF(AF31="","n.c.",IF(AE31+AF31=0,"n.c.",AD31/((AE31+AF31)/2)))))</f>
        <v>1.4444444444444444</v>
      </c>
      <c r="AH31" s="13" t="str">
        <f>IF(Base_SINISA_Esgoto!$C31="Ausente","Insatisfatório (nota 5)",IF(AF31="","Não calculado – falta ano-1 (nota 1)",IF(AE31="","Insatisfatório – extensão de rede 2024 ausente","Calculado")))</f>
        <v>Calculado</v>
      </c>
    </row>
    <row r="32" spans="1:34" ht="15" customHeight="1" x14ac:dyDescent="0.35">
      <c r="A32" s="12">
        <v>3165701</v>
      </c>
      <c r="B32" s="12" t="s">
        <v>141</v>
      </c>
      <c r="C32" s="13">
        <f>Base_SINISA_Agua!M32</f>
        <v>490.28</v>
      </c>
      <c r="D32" s="13">
        <f>Base_SINISA_Agua!N32</f>
        <v>0</v>
      </c>
      <c r="E32" s="13">
        <f>Base_SINISA_Agua!P32</f>
        <v>7.69</v>
      </c>
      <c r="F32" s="13">
        <f>Base_SINISA_Agua!Q32</f>
        <v>325.98</v>
      </c>
      <c r="G32" s="13">
        <f>Base_SINISA_Agua!O32</f>
        <v>0</v>
      </c>
      <c r="H32" s="13">
        <f>Base_SINISA_Agua!K32</f>
        <v>2620</v>
      </c>
      <c r="I32" s="13">
        <f>IF(Base_SINISA_2023!C32="Ausente","",Base_SINISA_2023!E32)</f>
        <v>2554</v>
      </c>
      <c r="J32" s="26">
        <f>IF(Base_SINISA_Agua!$C32="Ausente","n.c.",IF(I32="","n.c.",IF(H32="","n.c.",IF(C32="","n.c.",IF(H32+I32=0,"n.c.",(C32+N(D32)-N(E32)-N(F32)-N(G32))*1000000/(((H32+I32)/2)*365))))))</f>
        <v>165.85562162763233</v>
      </c>
      <c r="K32" s="13" t="str">
        <f>IF(Base_SINISA_Agua!$C32="Ausente","Insatisfatório (nota 5)",IF(C32="","Insatisfatório – vol. produzido ausente",IF(I32="","Não calculado – falta ano-1 (nota 1)",IF(OR(D32="",E32="",F32="",G32=""),"Ressalva – parcela ausente = zero (nota 4)","Calculado"))))</f>
        <v>Calculado</v>
      </c>
      <c r="L32" s="13">
        <f>Base_SINISA_Agua!V32</f>
        <v>0</v>
      </c>
      <c r="M32" s="13">
        <f>Base_SINISA_Agua!Y32</f>
        <v>0</v>
      </c>
      <c r="N32" s="13">
        <f>Base_SINISA_Agua!G32+Base_SINISA_Agua!H32</f>
        <v>2888</v>
      </c>
      <c r="O32" s="13">
        <f>IF(Base_SINISA_2023!C32="Ausente","",Base_SINISA_2023!F32)</f>
        <v>2825</v>
      </c>
      <c r="P32" s="27">
        <f>IF(Base_SINISA_Agua!$C32="Ausente","n.c.",IF(O32="","n.c.",IF(N32="","n.c.",IF(N32+O32=0,"n.c.",(N(L32)+N(M32))/((N32+O32)/2)))))</f>
        <v>0</v>
      </c>
      <c r="Q32" s="13" t="str">
        <f>IF(Base_SINISA_Agua!$C32="Ausente","Insatisfatório (nota 5)",IF(O32="","Não calculado – falta ano-1 (nota 1)","Calculado (nota 6: &gt;100% é válido)"))</f>
        <v>Calculado (nota 6: &gt;100% é válido)</v>
      </c>
      <c r="R32" s="19"/>
      <c r="S32" s="19"/>
      <c r="T32" s="27" t="str">
        <f t="shared" si="0"/>
        <v>n.c.</v>
      </c>
      <c r="U32" s="13" t="str">
        <f t="shared" si="1"/>
        <v>Insatisfatório – sem coleta no SINISA (nota 2)</v>
      </c>
      <c r="V32" s="19"/>
      <c r="W32" s="19"/>
      <c r="X32" s="27" t="str">
        <f t="shared" si="2"/>
        <v>n.c.</v>
      </c>
      <c r="Y32" s="13" t="str">
        <f t="shared" si="3"/>
        <v>Insatisfatório – sem coleta no SINISA (nota 2)</v>
      </c>
      <c r="Z32" s="13">
        <f>Base_SINISA_Esgoto!M32</f>
        <v>44</v>
      </c>
      <c r="AA32" s="13">
        <f>Base_SINISA_Esgoto!N32</f>
        <v>113</v>
      </c>
      <c r="AB32" s="28">
        <f t="shared" si="4"/>
        <v>2.5681818181818183</v>
      </c>
      <c r="AC32" s="13" t="str">
        <f>IF(Base_SINISA_Esgoto!$C32="Ausente","Insatisfatório (nota 5)",IF(OR(Z32="",Z32=0),"Insatisfatório – sem extravasamento reparado","Calculado"))</f>
        <v>Calculado</v>
      </c>
      <c r="AD32" s="13">
        <f>Base_SINISA_Esgoto!L32</f>
        <v>44</v>
      </c>
      <c r="AE32" s="13">
        <f>Base_SINISA_Esgoto!T32</f>
        <v>24.51</v>
      </c>
      <c r="AF32" s="13">
        <f>IF(Base_SINISA_Esgoto_2023!C32="Ausente","",Base_SINISA_Esgoto_2023!E32)</f>
        <v>24.51</v>
      </c>
      <c r="AG32" s="29">
        <f>IF(Base_SINISA_Esgoto!$C32="Ausente","n.c.",IF(AE32="","n.c.",IF(AF32="","n.c.",IF(AE32+AF32=0,"n.c.",AD32/((AE32+AF32)/2)))))</f>
        <v>1.7951856385148917</v>
      </c>
      <c r="AH32" s="13" t="str">
        <f>IF(Base_SINISA_Esgoto!$C32="Ausente","Insatisfatório (nota 5)",IF(AF32="","Não calculado – falta ano-1 (nota 1)",IF(AE32="","Insatisfatório – extensão de rede 2024 ausente","Calculado")))</f>
        <v>Calculado</v>
      </c>
    </row>
    <row r="33" spans="1:34" ht="15" customHeight="1" x14ac:dyDescent="0.35">
      <c r="A33" s="12">
        <v>3161403</v>
      </c>
      <c r="B33" s="12" t="s">
        <v>142</v>
      </c>
      <c r="C33" s="13">
        <f>Base_SINISA_Agua!M33</f>
        <v>372.3</v>
      </c>
      <c r="D33" s="13">
        <f>Base_SINISA_Agua!N33</f>
        <v>0</v>
      </c>
      <c r="E33" s="13">
        <f>Base_SINISA_Agua!P33</f>
        <v>0</v>
      </c>
      <c r="F33" s="13">
        <f>Base_SINISA_Agua!Q33</f>
        <v>311</v>
      </c>
      <c r="G33" s="13">
        <f>Base_SINISA_Agua!O33</f>
        <v>0</v>
      </c>
      <c r="H33" s="13">
        <f>Base_SINISA_Agua!K33</f>
        <v>1462</v>
      </c>
      <c r="I33" s="13">
        <f>IF(Base_SINISA_2023!C33="Ausente","",Base_SINISA_2023!E33)</f>
        <v>1403</v>
      </c>
      <c r="J33" s="26">
        <f>IF(Base_SINISA_Agua!$C33="Ausente","n.c.",IF(I33="","n.c.",IF(H33="","n.c.",IF(C33="","n.c.",IF(H33+I33=0,"n.c.",(C33+N(D33)-N(E33)-N(F33)-N(G33))*1000000/(((H33+I33)/2)*365))))))</f>
        <v>117.23923593679029</v>
      </c>
      <c r="K33" s="13" t="str">
        <f>IF(Base_SINISA_Agua!$C33="Ausente","Insatisfatório (nota 5)",IF(C33="","Insatisfatório – vol. produzido ausente",IF(I33="","Não calculado – falta ano-1 (nota 1)",IF(OR(D33="",E33="",F33="",G33=""),"Ressalva – parcela ausente = zero (nota 4)","Calculado"))))</f>
        <v>Calculado</v>
      </c>
      <c r="L33" s="13">
        <f>Base_SINISA_Agua!V33</f>
        <v>120</v>
      </c>
      <c r="M33" s="13">
        <f>Base_SINISA_Agua!Y33</f>
        <v>120</v>
      </c>
      <c r="N33" s="13">
        <f>Base_SINISA_Agua!G33+Base_SINISA_Agua!H33</f>
        <v>1462</v>
      </c>
      <c r="O33" s="13">
        <f>IF(Base_SINISA_2023!C33="Ausente","",Base_SINISA_2023!F33)</f>
        <v>1403</v>
      </c>
      <c r="P33" s="27">
        <f>IF(Base_SINISA_Agua!$C33="Ausente","n.c.",IF(O33="","n.c.",IF(N33="","n.c.",IF(N33+O33=0,"n.c.",(N(L33)+N(M33))/((N33+O33)/2)))))</f>
        <v>0.16753926701570682</v>
      </c>
      <c r="Q33" s="13" t="str">
        <f>IF(Base_SINISA_Agua!$C33="Ausente","Insatisfatório (nota 5)",IF(O33="","Não calculado – falta ano-1 (nota 1)","Calculado (nota 6: &gt;100% é válido)"))</f>
        <v>Calculado (nota 6: &gt;100% é válido)</v>
      </c>
      <c r="R33" s="19"/>
      <c r="S33" s="19"/>
      <c r="T33" s="27" t="str">
        <f t="shared" si="0"/>
        <v>n.c.</v>
      </c>
      <c r="U33" s="13" t="str">
        <f t="shared" si="1"/>
        <v>Insatisfatório – sem coleta no SINISA (nota 2)</v>
      </c>
      <c r="V33" s="19"/>
      <c r="W33" s="19"/>
      <c r="X33" s="27" t="str">
        <f t="shared" si="2"/>
        <v>n.c.</v>
      </c>
      <c r="Y33" s="13" t="str">
        <f t="shared" si="3"/>
        <v>Insatisfatório – sem coleta no SINISA (nota 2)</v>
      </c>
      <c r="Z33" s="13">
        <f>Base_SINISA_Esgoto!M33</f>
        <v>10</v>
      </c>
      <c r="AA33" s="13">
        <f>Base_SINISA_Esgoto!N33</f>
        <v>15</v>
      </c>
      <c r="AB33" s="28">
        <f t="shared" si="4"/>
        <v>1.5</v>
      </c>
      <c r="AC33" s="13" t="str">
        <f>IF(Base_SINISA_Esgoto!$C33="Ausente","Insatisfatório (nota 5)",IF(OR(Z33="",Z33=0),"Insatisfatório – sem extravasamento reparado","Calculado"))</f>
        <v>Calculado</v>
      </c>
      <c r="AD33" s="13">
        <f>Base_SINISA_Esgoto!L33</f>
        <v>10</v>
      </c>
      <c r="AE33" s="13">
        <f>Base_SINISA_Esgoto!T33</f>
        <v>19</v>
      </c>
      <c r="AF33" s="13">
        <f>IF(Base_SINISA_Esgoto_2023!C33="Ausente","",Base_SINISA_Esgoto_2023!E33)</f>
        <v>19</v>
      </c>
      <c r="AG33" s="29">
        <f>IF(Base_SINISA_Esgoto!$C33="Ausente","n.c.",IF(AE33="","n.c.",IF(AF33="","n.c.",IF(AE33+AF33=0,"n.c.",AD33/((AE33+AF33)/2)))))</f>
        <v>0.52631578947368418</v>
      </c>
      <c r="AH33" s="13" t="str">
        <f>IF(Base_SINISA_Esgoto!$C33="Ausente","Insatisfatório (nota 5)",IF(AF33="","Não calculado – falta ano-1 (nota 1)",IF(AE33="","Insatisfatório – extensão de rede 2024 ausente","Calculado")))</f>
        <v>Calculado</v>
      </c>
    </row>
    <row r="34" spans="1:34" ht="15" customHeight="1" x14ac:dyDescent="0.35">
      <c r="A34" s="12">
        <v>3168051</v>
      </c>
      <c r="B34" s="12" t="s">
        <v>144</v>
      </c>
      <c r="C34" s="13">
        <f>Base_SINISA_Agua!M34</f>
        <v>375.8</v>
      </c>
      <c r="D34" s="13">
        <f>Base_SINISA_Agua!N34</f>
        <v>0</v>
      </c>
      <c r="E34" s="13">
        <f>Base_SINISA_Agua!P34</f>
        <v>0</v>
      </c>
      <c r="F34" s="13">
        <f>Base_SINISA_Agua!Q34</f>
        <v>150</v>
      </c>
      <c r="G34" s="13">
        <f>Base_SINISA_Agua!O34</f>
        <v>0</v>
      </c>
      <c r="H34" s="13">
        <f>Base_SINISA_Agua!K34</f>
        <v>1234</v>
      </c>
      <c r="I34" s="13">
        <f>IF(Base_SINISA_2023!C34="Ausente","",Base_SINISA_2023!E34)</f>
        <v>1015</v>
      </c>
      <c r="J34" s="26">
        <f>IF(Base_SINISA_Agua!$C34="Ausente","n.c.",IF(I34="","n.c.",IF(H34="","n.c.",IF(C34="","n.c.",IF(H34+I34=0,"n.c.",(C34+N(D34)-N(E34)-N(F34)-N(G34))*1000000/(((H34+I34)/2)*365))))))</f>
        <v>550.13796085931642</v>
      </c>
      <c r="K34" s="13" t="str">
        <f>IF(Base_SINISA_Agua!$C34="Ausente","Insatisfatório (nota 5)",IF(C34="","Insatisfatório – vol. produzido ausente",IF(I34="","Não calculado – falta ano-1 (nota 1)",IF(OR(D34="",E34="",F34="",G34=""),"Ressalva – parcela ausente = zero (nota 4)","Calculado"))))</f>
        <v>Calculado</v>
      </c>
      <c r="L34" s="13">
        <f>Base_SINISA_Agua!V34</f>
        <v>0</v>
      </c>
      <c r="M34" s="13">
        <f>Base_SINISA_Agua!Y34</f>
        <v>0</v>
      </c>
      <c r="N34" s="13">
        <f>Base_SINISA_Agua!G34+Base_SINISA_Agua!H34</f>
        <v>1275</v>
      </c>
      <c r="O34" s="13">
        <f>IF(Base_SINISA_2023!C34="Ausente","",Base_SINISA_2023!F34)</f>
        <v>1015</v>
      </c>
      <c r="P34" s="27">
        <f>IF(Base_SINISA_Agua!$C34="Ausente","n.c.",IF(O34="","n.c.",IF(N34="","n.c.",IF(N34+O34=0,"n.c.",(N(L34)+N(M34))/((N34+O34)/2)))))</f>
        <v>0</v>
      </c>
      <c r="Q34" s="13" t="str">
        <f>IF(Base_SINISA_Agua!$C34="Ausente","Insatisfatório (nota 5)",IF(O34="","Não calculado – falta ano-1 (nota 1)","Calculado (nota 6: &gt;100% é válido)"))</f>
        <v>Calculado (nota 6: &gt;100% é válido)</v>
      </c>
      <c r="R34" s="19"/>
      <c r="S34" s="19"/>
      <c r="T34" s="27" t="str">
        <f t="shared" si="0"/>
        <v>n.c.</v>
      </c>
      <c r="U34" s="13" t="str">
        <f t="shared" si="1"/>
        <v>Insatisfatório – sem coleta no SINISA (nota 2)</v>
      </c>
      <c r="V34" s="19"/>
      <c r="W34" s="19"/>
      <c r="X34" s="27" t="str">
        <f t="shared" si="2"/>
        <v>n.c.</v>
      </c>
      <c r="Y34" s="13" t="str">
        <f t="shared" si="3"/>
        <v>Insatisfatório – sem coleta no SINISA (nota 2)</v>
      </c>
      <c r="Z34" s="13">
        <f>Base_SINISA_Esgoto!M34</f>
        <v>0</v>
      </c>
      <c r="AA34" s="13">
        <f>Base_SINISA_Esgoto!N34</f>
        <v>0</v>
      </c>
      <c r="AB34" s="28" t="str">
        <f t="shared" si="4"/>
        <v>n.c.</v>
      </c>
      <c r="AC34" s="13" t="str">
        <f>IF(Base_SINISA_Esgoto!$C34="Ausente","Insatisfatório (nota 5)",IF(OR(Z34="",Z34=0),"Insatisfatório – sem extravasamento reparado","Calculado"))</f>
        <v>Insatisfatório (nota 5)</v>
      </c>
      <c r="AD34" s="13">
        <f>Base_SINISA_Esgoto!L34</f>
        <v>0</v>
      </c>
      <c r="AE34" s="13">
        <f>Base_SINISA_Esgoto!T34</f>
        <v>0</v>
      </c>
      <c r="AF34" s="13">
        <f>IF(Base_SINISA_Esgoto_2023!C34="Ausente","",Base_SINISA_Esgoto_2023!E34)</f>
        <v>30</v>
      </c>
      <c r="AG34" s="29" t="str">
        <f>IF(Base_SINISA_Esgoto!$C34="Ausente","n.c.",IF(AE34="","n.c.",IF(AF34="","n.c.",IF(AE34+AF34=0,"n.c.",AD34/((AE34+AF34)/2)))))</f>
        <v>n.c.</v>
      </c>
      <c r="AH34" s="13" t="str">
        <f>IF(Base_SINISA_Esgoto!$C34="Ausente","Insatisfatório (nota 5)",IF(AF34="","Não calculado – falta ano-1 (nota 1)",IF(AE34="","Insatisfatório – extensão de rede 2024 ausente","Calculado")))</f>
        <v>Insatisfatório (nota 5)</v>
      </c>
    </row>
    <row r="35" spans="1:34" ht="15" customHeight="1" x14ac:dyDescent="0.35">
      <c r="A35" s="12">
        <v>3169000</v>
      </c>
      <c r="B35" s="12" t="s">
        <v>146</v>
      </c>
      <c r="C35" s="13">
        <f>Base_SINISA_Agua!M35</f>
        <v>2628</v>
      </c>
      <c r="D35" s="13">
        <f>Base_SINISA_Agua!N35</f>
        <v>0</v>
      </c>
      <c r="E35" s="13">
        <f>Base_SINISA_Agua!P35</f>
        <v>97.89</v>
      </c>
      <c r="F35" s="13">
        <f>Base_SINISA_Agua!Q35</f>
        <v>1910.4</v>
      </c>
      <c r="G35" s="13">
        <f>Base_SINISA_Agua!O35</f>
        <v>0</v>
      </c>
      <c r="H35" s="13">
        <f>Base_SINISA_Agua!K35</f>
        <v>5699</v>
      </c>
      <c r="I35" s="13">
        <f>IF(Base_SINISA_2023!C35="Ausente","",Base_SINISA_2023!E35)</f>
        <v>5699</v>
      </c>
      <c r="J35" s="26">
        <f>IF(Base_SINISA_Agua!$C35="Ausente","n.c.",IF(I35="","n.c.",IF(H35="","n.c.",IF(C35="","n.c.",IF(H35+I35=0,"n.c.",(C35+N(D35)-N(E35)-N(F35)-N(G35))*1000000/(((H35+I35)/2)*365))))))</f>
        <v>297.91816396531954</v>
      </c>
      <c r="K35" s="13" t="str">
        <f>IF(Base_SINISA_Agua!$C35="Ausente","Insatisfatório (nota 5)",IF(C35="","Insatisfatório – vol. produzido ausente",IF(I35="","Não calculado – falta ano-1 (nota 1)",IF(OR(D35="",E35="",F35="",G35=""),"Ressalva – parcela ausente = zero (nota 4)","Calculado"))))</f>
        <v>Calculado</v>
      </c>
      <c r="L35" s="13">
        <f>Base_SINISA_Agua!V35</f>
        <v>200</v>
      </c>
      <c r="M35" s="13">
        <f>Base_SINISA_Agua!Y35</f>
        <v>1200</v>
      </c>
      <c r="N35" s="13">
        <f>Base_SINISA_Agua!G35+Base_SINISA_Agua!H35</f>
        <v>5699</v>
      </c>
      <c r="O35" s="13">
        <f>IF(Base_SINISA_2023!C35="Ausente","",Base_SINISA_2023!F35)</f>
        <v>5699</v>
      </c>
      <c r="P35" s="27">
        <f>IF(Base_SINISA_Agua!$C35="Ausente","n.c.",IF(O35="","n.c.",IF(N35="","n.c.",IF(N35+O35=0,"n.c.",(N(L35)+N(M35))/((N35+O35)/2)))))</f>
        <v>0.24565713283032112</v>
      </c>
      <c r="Q35" s="13" t="str">
        <f>IF(Base_SINISA_Agua!$C35="Ausente","Insatisfatório (nota 5)",IF(O35="","Não calculado – falta ano-1 (nota 1)","Calculado (nota 6: &gt;100% é válido)"))</f>
        <v>Calculado (nota 6: &gt;100% é válido)</v>
      </c>
      <c r="R35" s="19"/>
      <c r="S35" s="19"/>
      <c r="T35" s="27" t="str">
        <f t="shared" si="0"/>
        <v>n.c.</v>
      </c>
      <c r="U35" s="13" t="str">
        <f t="shared" si="1"/>
        <v>Insatisfatório – sem coleta no SINISA (nota 2)</v>
      </c>
      <c r="V35" s="19"/>
      <c r="W35" s="19"/>
      <c r="X35" s="27" t="str">
        <f t="shared" si="2"/>
        <v>n.c.</v>
      </c>
      <c r="Y35" s="13" t="str">
        <f t="shared" si="3"/>
        <v>Insatisfatório – sem coleta no SINISA (nota 2)</v>
      </c>
      <c r="Z35" s="13">
        <f>Base_SINISA_Esgoto!M35</f>
        <v>0</v>
      </c>
      <c r="AA35" s="13">
        <f>Base_SINISA_Esgoto!N35</f>
        <v>0</v>
      </c>
      <c r="AB35" s="28" t="str">
        <f t="shared" si="4"/>
        <v>n.c.</v>
      </c>
      <c r="AC35" s="13" t="str">
        <f>IF(Base_SINISA_Esgoto!$C35="Ausente","Insatisfatório (nota 5)",IF(OR(Z35="",Z35=0),"Insatisfatório – sem extravasamento reparado","Calculado"))</f>
        <v>Insatisfatório (nota 5)</v>
      </c>
      <c r="AD35" s="13">
        <f>Base_SINISA_Esgoto!L35</f>
        <v>0</v>
      </c>
      <c r="AE35" s="13">
        <f>Base_SINISA_Esgoto!T35</f>
        <v>0</v>
      </c>
      <c r="AF35" s="13">
        <f>IF(Base_SINISA_Esgoto_2023!C35="Ausente","",Base_SINISA_Esgoto_2023!E35)</f>
        <v>50</v>
      </c>
      <c r="AG35" s="29" t="str">
        <f>IF(Base_SINISA_Esgoto!$C35="Ausente","n.c.",IF(AE35="","n.c.",IF(AF35="","n.c.",IF(AE35+AF35=0,"n.c.",AD35/((AE35+AF35)/2)))))</f>
        <v>n.c.</v>
      </c>
      <c r="AH35" s="13" t="str">
        <f>IF(Base_SINISA_Esgoto!$C35="Ausente","Insatisfatório (nota 5)",IF(AF35="","Não calculado – falta ano-1 (nota 1)",IF(AE35="","Insatisfatório – extensão de rede 2024 ausente","Calculado")))</f>
        <v>Insatisfatório (nota 5)</v>
      </c>
    </row>
    <row r="36" spans="1:34" ht="15" customHeight="1" x14ac:dyDescent="0.35">
      <c r="A36" s="12">
        <v>3169208</v>
      </c>
      <c r="B36" s="12" t="s">
        <v>148</v>
      </c>
      <c r="C36" s="13">
        <f>Base_SINISA_Agua!M36</f>
        <v>814.04</v>
      </c>
      <c r="D36" s="13">
        <f>Base_SINISA_Agua!N36</f>
        <v>0</v>
      </c>
      <c r="E36" s="13">
        <f>Base_SINISA_Agua!P36</f>
        <v>46.9</v>
      </c>
      <c r="F36" s="13">
        <f>Base_SINISA_Agua!Q36</f>
        <v>678.02</v>
      </c>
      <c r="G36" s="13">
        <f>Base_SINISA_Agua!O36</f>
        <v>0</v>
      </c>
      <c r="H36" s="13">
        <f>Base_SINISA_Agua!K36</f>
        <v>3272</v>
      </c>
      <c r="I36" s="13">
        <f>IF(Base_SINISA_2023!C36="Ausente","",Base_SINISA_2023!E36)</f>
        <v>3264</v>
      </c>
      <c r="J36" s="26">
        <f>IF(Base_SINISA_Agua!$C36="Ausente","n.c.",IF(I36="","n.c.",IF(H36="","n.c.",IF(C36="","n.c.",IF(H36+I36=0,"n.c.",(C36+N(D36)-N(E36)-N(F36)-N(G36))*1000000/(((H36+I36)/2)*365))))))</f>
        <v>74.713703660233733</v>
      </c>
      <c r="K36" s="13" t="str">
        <f>IF(Base_SINISA_Agua!$C36="Ausente","Insatisfatório (nota 5)",IF(C36="","Insatisfatório – vol. produzido ausente",IF(I36="","Não calculado – falta ano-1 (nota 1)",IF(OR(D36="",E36="",F36="",G36=""),"Ressalva – parcela ausente = zero (nota 4)","Calculado"))))</f>
        <v>Calculado</v>
      </c>
      <c r="L36" s="13">
        <f>Base_SINISA_Agua!V36</f>
        <v>3697</v>
      </c>
      <c r="M36" s="13">
        <f>Base_SINISA_Agua!Y36</f>
        <v>0</v>
      </c>
      <c r="N36" s="13">
        <f>Base_SINISA_Agua!G36+Base_SINISA_Agua!H36</f>
        <v>3272</v>
      </c>
      <c r="O36" s="13">
        <f>IF(Base_SINISA_2023!C36="Ausente","",Base_SINISA_2023!F36)</f>
        <v>3264</v>
      </c>
      <c r="P36" s="27">
        <f>IF(Base_SINISA_Agua!$C36="Ausente","n.c.",IF(O36="","n.c.",IF(N36="","n.c.",IF(N36+O36=0,"n.c.",(N(L36)+N(M36))/((N36+O36)/2)))))</f>
        <v>1.1312729498164014</v>
      </c>
      <c r="Q36" s="13" t="str">
        <f>IF(Base_SINISA_Agua!$C36="Ausente","Insatisfatório (nota 5)",IF(O36="","Não calculado – falta ano-1 (nota 1)","Calculado (nota 6: &gt;100% é válido)"))</f>
        <v>Calculado (nota 6: &gt;100% é válido)</v>
      </c>
      <c r="R36" s="19"/>
      <c r="S36" s="19"/>
      <c r="T36" s="27" t="str">
        <f t="shared" si="0"/>
        <v>n.c.</v>
      </c>
      <c r="U36" s="13" t="str">
        <f t="shared" si="1"/>
        <v>Insatisfatório – sem coleta no SINISA (nota 2)</v>
      </c>
      <c r="V36" s="19"/>
      <c r="W36" s="19"/>
      <c r="X36" s="27" t="str">
        <f t="shared" si="2"/>
        <v>n.c.</v>
      </c>
      <c r="Y36" s="13" t="str">
        <f t="shared" si="3"/>
        <v>Insatisfatório – sem coleta no SINISA (nota 2)</v>
      </c>
      <c r="Z36" s="13">
        <f>Base_SINISA_Esgoto!M36</f>
        <v>20</v>
      </c>
      <c r="AA36" s="13">
        <f>Base_SINISA_Esgoto!N36</f>
        <v>40</v>
      </c>
      <c r="AB36" s="28">
        <f t="shared" si="4"/>
        <v>2</v>
      </c>
      <c r="AC36" s="13" t="str">
        <f>IF(Base_SINISA_Esgoto!$C36="Ausente","Insatisfatório (nota 5)",IF(OR(Z36="",Z36=0),"Insatisfatório – sem extravasamento reparado","Calculado"))</f>
        <v>Calculado</v>
      </c>
      <c r="AD36" s="13">
        <f>Base_SINISA_Esgoto!L36</f>
        <v>20</v>
      </c>
      <c r="AE36" s="13">
        <f>Base_SINISA_Esgoto!T36</f>
        <v>25</v>
      </c>
      <c r="AF36" s="13">
        <f>IF(Base_SINISA_Esgoto_2023!C36="Ausente","",Base_SINISA_Esgoto_2023!E36)</f>
        <v>25</v>
      </c>
      <c r="AG36" s="29">
        <f>IF(Base_SINISA_Esgoto!$C36="Ausente","n.c.",IF(AE36="","n.c.",IF(AF36="","n.c.",IF(AE36+AF36=0,"n.c.",AD36/((AE36+AF36)/2)))))</f>
        <v>0.8</v>
      </c>
      <c r="AH36" s="13" t="str">
        <f>IF(Base_SINISA_Esgoto!$C36="Ausente","Insatisfatório (nota 5)",IF(AF36="","Não calculado – falta ano-1 (nota 1)",IF(AE36="","Insatisfatório – extensão de rede 2024 ausente","Calculado")))</f>
        <v>Calculado</v>
      </c>
    </row>
    <row r="37" spans="1:34" ht="15" customHeight="1" x14ac:dyDescent="0.35">
      <c r="A37" s="12">
        <v>3171154</v>
      </c>
      <c r="B37" s="12" t="s">
        <v>149</v>
      </c>
      <c r="C37" s="13">
        <f>Base_SINISA_Agua!M37</f>
        <v>219.02</v>
      </c>
      <c r="D37" s="13">
        <f>Base_SINISA_Agua!N37</f>
        <v>0</v>
      </c>
      <c r="E37" s="13">
        <f>Base_SINISA_Agua!P37</f>
        <v>20.2</v>
      </c>
      <c r="F37" s="13">
        <f>Base_SINISA_Agua!Q37</f>
        <v>103.08</v>
      </c>
      <c r="G37" s="13">
        <f>Base_SINISA_Agua!O37</f>
        <v>0</v>
      </c>
      <c r="H37" s="13">
        <f>Base_SINISA_Agua!K37</f>
        <v>1097</v>
      </c>
      <c r="I37" s="13">
        <f>IF(Base_SINISA_2023!C37="Ausente","",Base_SINISA_2023!E37)</f>
        <v>1049</v>
      </c>
      <c r="J37" s="26">
        <f>IF(Base_SINISA_Agua!$C37="Ausente","n.c.",IF(I37="","n.c.",IF(H37="","n.c.",IF(C37="","n.c.",IF(H37+I37=0,"n.c.",(C37+N(D37)-N(E37)-N(F37)-N(G37))*1000000/(((H37+I37)/2)*365))))))</f>
        <v>244.45607629358227</v>
      </c>
      <c r="K37" s="13" t="str">
        <f>IF(Base_SINISA_Agua!$C37="Ausente","Insatisfatório (nota 5)",IF(C37="","Insatisfatório – vol. produzido ausente",IF(I37="","Não calculado – falta ano-1 (nota 1)",IF(OR(D37="",E37="",F37="",G37=""),"Ressalva – parcela ausente = zero (nota 4)","Calculado"))))</f>
        <v>Calculado</v>
      </c>
      <c r="L37" s="13">
        <f>Base_SINISA_Agua!V37</f>
        <v>1149</v>
      </c>
      <c r="M37" s="13">
        <f>Base_SINISA_Agua!Y37</f>
        <v>1149</v>
      </c>
      <c r="N37" s="13">
        <f>Base_SINISA_Agua!G37+Base_SINISA_Agua!H37</f>
        <v>1149</v>
      </c>
      <c r="O37" s="13">
        <f>IF(Base_SINISA_2023!C37="Ausente","",Base_SINISA_2023!F37)</f>
        <v>1084</v>
      </c>
      <c r="P37" s="27">
        <f>IF(Base_SINISA_Agua!$C37="Ausente","n.c.",IF(O37="","n.c.",IF(N37="","n.c.",IF(N37+O37=0,"n.c.",(N(L37)+N(M37))/((N37+O37)/2)))))</f>
        <v>2.0582176444245408</v>
      </c>
      <c r="Q37" s="13" t="str">
        <f>IF(Base_SINISA_Agua!$C37="Ausente","Insatisfatório (nota 5)",IF(O37="","Não calculado – falta ano-1 (nota 1)","Calculado (nota 6: &gt;100% é válido)"))</f>
        <v>Calculado (nota 6: &gt;100% é válido)</v>
      </c>
      <c r="R37" s="19"/>
      <c r="S37" s="19"/>
      <c r="T37" s="27" t="str">
        <f t="shared" si="0"/>
        <v>n.c.</v>
      </c>
      <c r="U37" s="13" t="str">
        <f t="shared" si="1"/>
        <v>Insatisfatório – sem coleta no SINISA (nota 2)</v>
      </c>
      <c r="V37" s="19"/>
      <c r="W37" s="19"/>
      <c r="X37" s="27" t="str">
        <f t="shared" si="2"/>
        <v>n.c.</v>
      </c>
      <c r="Y37" s="13" t="str">
        <f t="shared" si="3"/>
        <v>Insatisfatório – sem coleta no SINISA (nota 2)</v>
      </c>
      <c r="Z37" s="13">
        <f>Base_SINISA_Esgoto!M37</f>
        <v>5</v>
      </c>
      <c r="AA37" s="13">
        <f>Base_SINISA_Esgoto!N37</f>
        <v>120</v>
      </c>
      <c r="AB37" s="28">
        <f t="shared" si="4"/>
        <v>24</v>
      </c>
      <c r="AC37" s="13" t="str">
        <f>IF(Base_SINISA_Esgoto!$C37="Ausente","Insatisfatório (nota 5)",IF(OR(Z37="",Z37=0),"Insatisfatório – sem extravasamento reparado","Calculado"))</f>
        <v>Calculado</v>
      </c>
      <c r="AD37" s="13">
        <f>Base_SINISA_Esgoto!L37</f>
        <v>5</v>
      </c>
      <c r="AE37" s="13">
        <f>Base_SINISA_Esgoto!T37</f>
        <v>13</v>
      </c>
      <c r="AF37" s="13">
        <f>IF(Base_SINISA_Esgoto_2023!C37="Ausente","",Base_SINISA_Esgoto_2023!E37)</f>
        <v>14</v>
      </c>
      <c r="AG37" s="29">
        <f>IF(Base_SINISA_Esgoto!$C37="Ausente","n.c.",IF(AE37="","n.c.",IF(AF37="","n.c.",IF(AE37+AF37=0,"n.c.",AD37/((AE37+AF37)/2)))))</f>
        <v>0.37037037037037035</v>
      </c>
      <c r="AH37" s="13" t="str">
        <f>IF(Base_SINISA_Esgoto!$C37="Ausente","Insatisfatório (nota 5)",IF(AF37="","Não calculado – falta ano-1 (nota 1)",IF(AE37="","Insatisfatório – extensão de rede 2024 ausente","Calculado")))</f>
        <v>Calculado</v>
      </c>
    </row>
    <row r="38" spans="1:34" ht="15" customHeight="1" x14ac:dyDescent="0.35">
      <c r="A38" s="12">
        <v>3171303</v>
      </c>
      <c r="B38" s="12" t="s">
        <v>150</v>
      </c>
      <c r="C38" s="13">
        <f>Base_SINISA_Agua!M38</f>
        <v>7342</v>
      </c>
      <c r="D38" s="13">
        <f>Base_SINISA_Agua!N38</f>
        <v>0</v>
      </c>
      <c r="E38" s="13">
        <f>Base_SINISA_Agua!P38</f>
        <v>194.54</v>
      </c>
      <c r="F38" s="13">
        <f>Base_SINISA_Agua!Q38</f>
        <v>4564.8599999999997</v>
      </c>
      <c r="G38" s="13">
        <f>Base_SINISA_Agua!O38</f>
        <v>0</v>
      </c>
      <c r="H38" s="13">
        <f>Base_SINISA_Agua!K38</f>
        <v>22451</v>
      </c>
      <c r="I38" s="13">
        <f>IF(Base_SINISA_2023!C38="Ausente","",Base_SINISA_2023!E38)</f>
        <v>22536</v>
      </c>
      <c r="J38" s="26">
        <f>IF(Base_SINISA_Agua!$C38="Ausente","n.c.",IF(I38="","n.c.",IF(H38="","n.c.",IF(C38="","n.c.",IF(H38+I38=0,"n.c.",(C38+N(D38)-N(E38)-N(F38)-N(G38))*1000000/(((H38+I38)/2)*365))))))</f>
        <v>314.56271537804992</v>
      </c>
      <c r="K38" s="13" t="str">
        <f>IF(Base_SINISA_Agua!$C38="Ausente","Insatisfatório (nota 5)",IF(C38="","Insatisfatório – vol. produzido ausente",IF(I38="","Não calculado – falta ano-1 (nota 1)",IF(OR(D38="",E38="",F38="",G38=""),"Ressalva – parcela ausente = zero (nota 4)","Calculado"))))</f>
        <v>Calculado</v>
      </c>
      <c r="L38" s="13">
        <f>Base_SINISA_Agua!V38</f>
        <v>12000</v>
      </c>
      <c r="M38" s="13">
        <f>Base_SINISA_Agua!Y38</f>
        <v>0</v>
      </c>
      <c r="N38" s="13">
        <f>Base_SINISA_Agua!G38+Base_SINISA_Agua!H38</f>
        <v>37431</v>
      </c>
      <c r="O38" s="13">
        <f>IF(Base_SINISA_2023!C38="Ausente","",Base_SINISA_2023!F38)</f>
        <v>37285</v>
      </c>
      <c r="P38" s="27">
        <f>IF(Base_SINISA_Agua!$C38="Ausente","n.c.",IF(O38="","n.c.",IF(N38="","n.c.",IF(N38+O38=0,"n.c.",(N(L38)+N(M38))/((N38+O38)/2)))))</f>
        <v>0.32121633920445419</v>
      </c>
      <c r="Q38" s="13" t="str">
        <f>IF(Base_SINISA_Agua!$C38="Ausente","Insatisfatório (nota 5)",IF(O38="","Não calculado – falta ano-1 (nota 1)","Calculado (nota 6: &gt;100% é válido)"))</f>
        <v>Calculado (nota 6: &gt;100% é válido)</v>
      </c>
      <c r="R38" s="19"/>
      <c r="S38" s="19"/>
      <c r="T38" s="27" t="str">
        <f t="shared" si="0"/>
        <v>n.c.</v>
      </c>
      <c r="U38" s="13" t="str">
        <f t="shared" si="1"/>
        <v>Insatisfatório – sem coleta no SINISA (nota 2)</v>
      </c>
      <c r="V38" s="19"/>
      <c r="W38" s="19"/>
      <c r="X38" s="27" t="str">
        <f t="shared" si="2"/>
        <v>n.c.</v>
      </c>
      <c r="Y38" s="13" t="str">
        <f t="shared" si="3"/>
        <v>Insatisfatório – sem coleta no SINISA (nota 2)</v>
      </c>
      <c r="Z38" s="13">
        <f>Base_SINISA_Esgoto!M38</f>
        <v>467</v>
      </c>
      <c r="AA38" s="13">
        <f>Base_SINISA_Esgoto!N38</f>
        <v>158</v>
      </c>
      <c r="AB38" s="28">
        <f t="shared" si="4"/>
        <v>0.33832976445396146</v>
      </c>
      <c r="AC38" s="13" t="str">
        <f>IF(Base_SINISA_Esgoto!$C38="Ausente","Insatisfatório (nota 5)",IF(OR(Z38="",Z38=0),"Insatisfatório – sem extravasamento reparado","Calculado"))</f>
        <v>Calculado</v>
      </c>
      <c r="AD38" s="13">
        <f>Base_SINISA_Esgoto!L38</f>
        <v>488</v>
      </c>
      <c r="AE38" s="13">
        <f>Base_SINISA_Esgoto!T38</f>
        <v>229</v>
      </c>
      <c r="AF38" s="13">
        <f>IF(Base_SINISA_Esgoto_2023!C38="Ausente","",Base_SINISA_Esgoto_2023!E38)</f>
        <v>228.7</v>
      </c>
      <c r="AG38" s="29">
        <f>IF(Base_SINISA_Esgoto!$C38="Ausente","n.c.",IF(AE38="","n.c.",IF(AF38="","n.c.",IF(AE38+AF38=0,"n.c.",AD38/((AE38+AF38)/2)))))</f>
        <v>2.1324011361153596</v>
      </c>
      <c r="AH38" s="13" t="str">
        <f>IF(Base_SINISA_Esgoto!$C38="Ausente","Insatisfatório (nota 5)",IF(AF38="","Não calculado – falta ano-1 (nota 1)",IF(AE38="","Insatisfatório – extensão de rede 2024 ausente","Calculado")))</f>
        <v>Calculado</v>
      </c>
    </row>
    <row r="39" spans="1:34" ht="15" customHeight="1" x14ac:dyDescent="0.35">
      <c r="A39" s="12">
        <v>3167202</v>
      </c>
      <c r="B39" s="12" t="s">
        <v>151</v>
      </c>
      <c r="C39" s="13">
        <f>Base_SINISA_Agua!M39</f>
        <v>39516.449999999997</v>
      </c>
      <c r="D39" s="13">
        <f>Base_SINISA_Agua!N39</f>
        <v>0</v>
      </c>
      <c r="E39" s="13">
        <f>Base_SINISA_Agua!P39</f>
        <v>67.489999999999995</v>
      </c>
      <c r="F39" s="13">
        <f>Base_SINISA_Agua!Q39</f>
        <v>12291.03</v>
      </c>
      <c r="G39" s="13">
        <f>Base_SINISA_Agua!O39</f>
        <v>0</v>
      </c>
      <c r="H39" s="13">
        <f>Base_SINISA_Agua!K39</f>
        <v>83965</v>
      </c>
      <c r="I39" s="13">
        <f>IF(Base_SINISA_2023!C39="Ausente","",Base_SINISA_2023!E39)</f>
        <v>82174</v>
      </c>
      <c r="J39" s="26">
        <f>IF(Base_SINISA_Agua!$C39="Ausente","n.c.",IF(I39="","n.c.",IF(H39="","n.c.",IF(C39="","n.c.",IF(H39+I39=0,"n.c.",(C39+N(D39)-N(E39)-N(F39)-N(G39))*1000000/(((H39+I39)/2)*365))))))</f>
        <v>895.6992358354496</v>
      </c>
      <c r="K39" s="13" t="str">
        <f>IF(Base_SINISA_Agua!$C39="Ausente","Insatisfatório (nota 5)",IF(C39="","Insatisfatório – vol. produzido ausente",IF(I39="","Não calculado – falta ano-1 (nota 1)",IF(OR(D39="",E39="",F39="",G39=""),"Ressalva – parcela ausente = zero (nota 4)","Calculado"))))</f>
        <v>Calculado</v>
      </c>
      <c r="L39" s="13">
        <f>Base_SINISA_Agua!V39</f>
        <v>48713</v>
      </c>
      <c r="M39" s="13">
        <f>Base_SINISA_Agua!Y39</f>
        <v>48713</v>
      </c>
      <c r="N39" s="13">
        <f>Base_SINISA_Agua!G39+Base_SINISA_Agua!H39</f>
        <v>105518</v>
      </c>
      <c r="O39" s="13">
        <f>IF(Base_SINISA_2023!C39="Ausente","",Base_SINISA_2023!F39)</f>
        <v>92509</v>
      </c>
      <c r="P39" s="27">
        <f>IF(Base_SINISA_Agua!$C39="Ausente","n.c.",IF(O39="","n.c.",IF(N39="","n.c.",IF(N39+O39=0,"n.c.",(N(L39)+N(M39))/((N39+O39)/2)))))</f>
        <v>0.98396683280562747</v>
      </c>
      <c r="Q39" s="13" t="str">
        <f>IF(Base_SINISA_Agua!$C39="Ausente","Insatisfatório (nota 5)",IF(O39="","Não calculado – falta ano-1 (nota 1)","Calculado (nota 6: &gt;100% é válido)"))</f>
        <v>Calculado (nota 6: &gt;100% é válido)</v>
      </c>
      <c r="R39" s="19"/>
      <c r="S39" s="19"/>
      <c r="T39" s="27" t="str">
        <f t="shared" si="0"/>
        <v>n.c.</v>
      </c>
      <c r="U39" s="13" t="str">
        <f t="shared" si="1"/>
        <v>Insatisfatório – sem coleta no SINISA (nota 2)</v>
      </c>
      <c r="V39" s="19"/>
      <c r="W39" s="19"/>
      <c r="X39" s="27" t="str">
        <f t="shared" si="2"/>
        <v>n.c.</v>
      </c>
      <c r="Y39" s="13" t="str">
        <f t="shared" si="3"/>
        <v>Insatisfatório – sem coleta no SINISA (nota 2)</v>
      </c>
      <c r="Z39" s="13">
        <f>Base_SINISA_Esgoto!M39</f>
        <v>8314</v>
      </c>
      <c r="AA39" s="13">
        <f>Base_SINISA_Esgoto!N39</f>
        <v>2920</v>
      </c>
      <c r="AB39" s="28">
        <f t="shared" si="4"/>
        <v>0.35121481837863844</v>
      </c>
      <c r="AC39" s="13" t="str">
        <f>IF(Base_SINISA_Esgoto!$C39="Ausente","Insatisfatório (nota 5)",IF(OR(Z39="",Z39=0),"Insatisfatório – sem extravasamento reparado","Calculado"))</f>
        <v>Calculado</v>
      </c>
      <c r="AD39" s="13">
        <f>Base_SINISA_Esgoto!L39</f>
        <v>12590</v>
      </c>
      <c r="AE39" s="13">
        <f>Base_SINISA_Esgoto!T39</f>
        <v>1033.23</v>
      </c>
      <c r="AF39" s="13">
        <f>IF(Base_SINISA_Esgoto_2023!C39="Ausente","",Base_SINISA_Esgoto_2023!E39)</f>
        <v>996.93</v>
      </c>
      <c r="AG39" s="29">
        <f>IF(Base_SINISA_Esgoto!$C39="Ausente","n.c.",IF(AE39="","n.c.",IF(AF39="","n.c.",IF(AE39+AF39=0,"n.c.",AD39/((AE39+AF39)/2)))))</f>
        <v>12.402963313236397</v>
      </c>
      <c r="AH39" s="13" t="str">
        <f>IF(Base_SINISA_Esgoto!$C39="Ausente","Insatisfatório (nota 5)",IF(AF39="","Não calculado – falta ano-1 (nota 1)",IF(AE39="","Insatisfatório – extensão de rede 2024 ausente","Calculado")))</f>
        <v>Calculado</v>
      </c>
    </row>
    <row r="40" spans="1:34" ht="15" customHeight="1" x14ac:dyDescent="0.35">
      <c r="A40" s="12">
        <v>3146305</v>
      </c>
      <c r="B40" s="12" t="s">
        <v>153</v>
      </c>
      <c r="C40" s="13">
        <f>Base_SINISA_Agua!M40</f>
        <v>668.95</v>
      </c>
      <c r="D40" s="13">
        <f>Base_SINISA_Agua!N40</f>
        <v>0</v>
      </c>
      <c r="E40" s="13">
        <f>Base_SINISA_Agua!P40</f>
        <v>1.42</v>
      </c>
      <c r="F40" s="13">
        <f>Base_SINISA_Agua!Q40</f>
        <v>520.13</v>
      </c>
      <c r="G40" s="13">
        <f>Base_SINISA_Agua!O40</f>
        <v>0</v>
      </c>
      <c r="H40" s="13">
        <f>Base_SINISA_Agua!K40</f>
        <v>5062</v>
      </c>
      <c r="I40" s="13">
        <f>IF(Base_SINISA_2023!C40="Ausente","",Base_SINISA_2023!E40)</f>
        <v>4758</v>
      </c>
      <c r="J40" s="26">
        <f>IF(Base_SINISA_Agua!$C40="Ausente","n.c.",IF(I40="","n.c.",IF(H40="","n.c.",IF(C40="","n.c.",IF(H40+I40=0,"n.c.",(C40+N(D40)-N(E40)-N(F40)-N(G40))*1000000/(((H40+I40)/2)*365))))))</f>
        <v>82.247579722679518</v>
      </c>
      <c r="K40" s="13" t="str">
        <f>IF(Base_SINISA_Agua!$C40="Ausente","Insatisfatório (nota 5)",IF(C40="","Insatisfatório – vol. produzido ausente",IF(I40="","Não calculado – falta ano-1 (nota 1)",IF(OR(D40="",E40="",F40="",G40=""),"Ressalva – parcela ausente = zero (nota 4)","Calculado"))))</f>
        <v>Calculado</v>
      </c>
      <c r="L40" s="13">
        <f>Base_SINISA_Agua!V40</f>
        <v>0</v>
      </c>
      <c r="M40" s="13">
        <f>Base_SINISA_Agua!Y40</f>
        <v>0</v>
      </c>
      <c r="N40" s="13">
        <f>Base_SINISA_Agua!G40+Base_SINISA_Agua!H40</f>
        <v>5061</v>
      </c>
      <c r="O40" s="13">
        <f>IF(Base_SINISA_2023!C40="Ausente","",Base_SINISA_2023!F40)</f>
        <v>4953</v>
      </c>
      <c r="P40" s="27">
        <f>IF(Base_SINISA_Agua!$C40="Ausente","n.c.",IF(O40="","n.c.",IF(N40="","n.c.",IF(N40+O40=0,"n.c.",(N(L40)+N(M40))/((N40+O40)/2)))))</f>
        <v>0</v>
      </c>
      <c r="Q40" s="13" t="str">
        <f>IF(Base_SINISA_Agua!$C40="Ausente","Insatisfatório (nota 5)",IF(O40="","Não calculado – falta ano-1 (nota 1)","Calculado (nota 6: &gt;100% é válido)"))</f>
        <v>Calculado (nota 6: &gt;100% é válido)</v>
      </c>
      <c r="R40" s="19"/>
      <c r="S40" s="19"/>
      <c r="T40" s="27" t="str">
        <f t="shared" si="0"/>
        <v>n.c.</v>
      </c>
      <c r="U40" s="13" t="str">
        <f t="shared" si="1"/>
        <v>Insatisfatório – sem coleta no SINISA (nota 2)</v>
      </c>
      <c r="V40" s="19"/>
      <c r="W40" s="19"/>
      <c r="X40" s="27" t="str">
        <f t="shared" si="2"/>
        <v>n.c.</v>
      </c>
      <c r="Y40" s="13" t="str">
        <f t="shared" si="3"/>
        <v>Insatisfatório – sem coleta no SINISA (nota 2)</v>
      </c>
      <c r="Z40" s="13">
        <f>Base_SINISA_Esgoto!M40</f>
        <v>750</v>
      </c>
      <c r="AA40" s="13">
        <f>Base_SINISA_Esgoto!N40</f>
        <v>2300</v>
      </c>
      <c r="AB40" s="28">
        <f t="shared" si="4"/>
        <v>3.0666666666666669</v>
      </c>
      <c r="AC40" s="13" t="str">
        <f>IF(Base_SINISA_Esgoto!$C40="Ausente","Insatisfatório (nota 5)",IF(OR(Z40="",Z40=0),"Insatisfatório – sem extravasamento reparado","Calculado"))</f>
        <v>Calculado</v>
      </c>
      <c r="AD40" s="13">
        <f>Base_SINISA_Esgoto!L40</f>
        <v>750</v>
      </c>
      <c r="AE40" s="13">
        <f>Base_SINISA_Esgoto!T40</f>
        <v>35</v>
      </c>
      <c r="AF40" s="13">
        <f>IF(Base_SINISA_Esgoto_2023!C40="Ausente","",Base_SINISA_Esgoto_2023!E40)</f>
        <v>35</v>
      </c>
      <c r="AG40" s="29">
        <f>IF(Base_SINISA_Esgoto!$C40="Ausente","n.c.",IF(AE40="","n.c.",IF(AF40="","n.c.",IF(AE40+AF40=0,"n.c.",AD40/((AE40+AF40)/2)))))</f>
        <v>21.428571428571427</v>
      </c>
      <c r="AH40" s="13" t="str">
        <f>IF(Base_SINISA_Esgoto!$C40="Ausente","Insatisfatório (nota 5)",IF(AF40="","Não calculado – falta ano-1 (nota 1)",IF(AE40="","Insatisfatório – extensão de rede 2024 ausente","Calculado")))</f>
        <v>Calculado</v>
      </c>
    </row>
    <row r="41" spans="1:34" ht="15" customHeight="1" x14ac:dyDescent="0.35">
      <c r="A41" s="12">
        <v>3120607</v>
      </c>
      <c r="B41" s="12" t="s">
        <v>155</v>
      </c>
      <c r="C41" s="13">
        <f>Base_SINISA_Agua!M41</f>
        <v>250.9</v>
      </c>
      <c r="D41" s="13">
        <f>Base_SINISA_Agua!N41</f>
        <v>0</v>
      </c>
      <c r="E41" s="13">
        <f>Base_SINISA_Agua!P41</f>
        <v>0</v>
      </c>
      <c r="F41" s="13">
        <f>Base_SINISA_Agua!Q41</f>
        <v>206.66</v>
      </c>
      <c r="G41" s="13">
        <f>Base_SINISA_Agua!O41</f>
        <v>0</v>
      </c>
      <c r="H41" s="13">
        <f>Base_SINISA_Agua!K41</f>
        <v>1730</v>
      </c>
      <c r="I41" s="13">
        <f>IF(Base_SINISA_2023!C41="Ausente","",Base_SINISA_2023!E41)</f>
        <v>1707</v>
      </c>
      <c r="J41" s="26">
        <f>IF(Base_SINISA_Agua!$C41="Ausente","n.c.",IF(I41="","n.c.",IF(H41="","n.c.",IF(C41="","n.c.",IF(H41+I41=0,"n.c.",(C41+N(D41)-N(E41)-N(F41)-N(G41))*1000000/(((H41+I41)/2)*365))))))</f>
        <v>70.529810562731925</v>
      </c>
      <c r="K41" s="13" t="str">
        <f>IF(Base_SINISA_Agua!$C41="Ausente","Insatisfatório (nota 5)",IF(C41="","Insatisfatório – vol. produzido ausente",IF(I41="","Não calculado – falta ano-1 (nota 1)",IF(OR(D41="",E41="",F41="",G41=""),"Ressalva – parcela ausente = zero (nota 4)","Calculado"))))</f>
        <v>Calculado</v>
      </c>
      <c r="L41" s="13">
        <f>Base_SINISA_Agua!V41</f>
        <v>0</v>
      </c>
      <c r="M41" s="13">
        <f>Base_SINISA_Agua!Y41</f>
        <v>0</v>
      </c>
      <c r="N41" s="13">
        <f>Base_SINISA_Agua!G41+Base_SINISA_Agua!H41</f>
        <v>1893</v>
      </c>
      <c r="O41" s="13">
        <f>IF(Base_SINISA_2023!C41="Ausente","",Base_SINISA_2023!F41)</f>
        <v>1877</v>
      </c>
      <c r="P41" s="27">
        <f>IF(Base_SINISA_Agua!$C41="Ausente","n.c.",IF(O41="","n.c.",IF(N41="","n.c.",IF(N41+O41=0,"n.c.",(N(L41)+N(M41))/((N41+O41)/2)))))</f>
        <v>0</v>
      </c>
      <c r="Q41" s="13" t="str">
        <f>IF(Base_SINISA_Agua!$C41="Ausente","Insatisfatório (nota 5)",IF(O41="","Não calculado – falta ano-1 (nota 1)","Calculado (nota 6: &gt;100% é válido)"))</f>
        <v>Calculado (nota 6: &gt;100% é válido)</v>
      </c>
      <c r="R41" s="19"/>
      <c r="S41" s="19"/>
      <c r="T41" s="27" t="str">
        <f t="shared" si="0"/>
        <v>n.c.</v>
      </c>
      <c r="U41" s="13" t="str">
        <f t="shared" si="1"/>
        <v>Insatisfatório – sem coleta no SINISA (nota 2)</v>
      </c>
      <c r="V41" s="19"/>
      <c r="W41" s="19"/>
      <c r="X41" s="27" t="str">
        <f t="shared" si="2"/>
        <v>n.c.</v>
      </c>
      <c r="Y41" s="13" t="str">
        <f t="shared" si="3"/>
        <v>Insatisfatório – sem coleta no SINISA (nota 2)</v>
      </c>
      <c r="Z41" s="13">
        <f>Base_SINISA_Esgoto!M41</f>
        <v>190</v>
      </c>
      <c r="AA41" s="13">
        <f>Base_SINISA_Esgoto!N41</f>
        <v>1540</v>
      </c>
      <c r="AB41" s="28">
        <f t="shared" si="4"/>
        <v>8.1052631578947363</v>
      </c>
      <c r="AC41" s="13" t="str">
        <f>IF(Base_SINISA_Esgoto!$C41="Ausente","Insatisfatório (nota 5)",IF(OR(Z41="",Z41=0),"Insatisfatório – sem extravasamento reparado","Calculado"))</f>
        <v>Calculado</v>
      </c>
      <c r="AD41" s="13">
        <f>Base_SINISA_Esgoto!L41</f>
        <v>190</v>
      </c>
      <c r="AE41" s="13">
        <f>Base_SINISA_Esgoto!T41</f>
        <v>25</v>
      </c>
      <c r="AF41" s="13">
        <f>IF(Base_SINISA_Esgoto_2023!C41="Ausente","",Base_SINISA_Esgoto_2023!E41)</f>
        <v>25</v>
      </c>
      <c r="AG41" s="29">
        <f>IF(Base_SINISA_Esgoto!$C41="Ausente","n.c.",IF(AE41="","n.c.",IF(AF41="","n.c.",IF(AE41+AF41=0,"n.c.",AD41/((AE41+AF41)/2)))))</f>
        <v>7.6</v>
      </c>
      <c r="AH41" s="13" t="str">
        <f>IF(Base_SINISA_Esgoto!$C41="Ausente","Insatisfatório (nota 5)",IF(AF41="","Não calculado – falta ano-1 (nota 1)",IF(AE41="","Insatisfatório – extensão de rede 2024 ausente","Calculado")))</f>
        <v>Calculado</v>
      </c>
    </row>
    <row r="42" spans="1:34" ht="15" customHeight="1" x14ac:dyDescent="0.35">
      <c r="A42" s="12">
        <v>3115706</v>
      </c>
      <c r="B42" s="12" t="s">
        <v>157</v>
      </c>
      <c r="C42" s="13">
        <f>Base_SINISA_Agua!M42</f>
        <v>601.35</v>
      </c>
      <c r="D42" s="13">
        <f>Base_SINISA_Agua!N42</f>
        <v>0</v>
      </c>
      <c r="E42" s="13">
        <f>Base_SINISA_Agua!P42</f>
        <v>36.5</v>
      </c>
      <c r="F42" s="13">
        <f>Base_SINISA_Agua!Q42</f>
        <v>420</v>
      </c>
      <c r="G42" s="13">
        <f>Base_SINISA_Agua!O42</f>
        <v>0</v>
      </c>
      <c r="H42" s="13">
        <f>Base_SINISA_Agua!K42</f>
        <v>2675</v>
      </c>
      <c r="I42" s="13">
        <f>IF(Base_SINISA_2023!C42="Ausente","",Base_SINISA_2023!E42)</f>
        <v>2675</v>
      </c>
      <c r="J42" s="26">
        <f>IF(Base_SINISA_Agua!$C42="Ausente","n.c.",IF(I42="","n.c.",IF(H42="","n.c.",IF(C42="","n.c.",IF(H42+I42=0,"n.c.",(C42+N(D42)-N(E42)-N(F42)-N(G42))*1000000/(((H42+I42)/2)*365))))))</f>
        <v>148.35488413775448</v>
      </c>
      <c r="K42" s="13" t="str">
        <f>IF(Base_SINISA_Agua!$C42="Ausente","Insatisfatório (nota 5)",IF(C42="","Insatisfatório – vol. produzido ausente",IF(I42="","Não calculado – falta ano-1 (nota 1)",IF(OR(D42="",E42="",F42="",G42=""),"Ressalva – parcela ausente = zero (nota 4)","Calculado"))))</f>
        <v>Calculado</v>
      </c>
      <c r="L42" s="13">
        <f>Base_SINISA_Agua!V42</f>
        <v>0</v>
      </c>
      <c r="M42" s="13">
        <f>Base_SINISA_Agua!Y42</f>
        <v>0</v>
      </c>
      <c r="N42" s="13">
        <f>Base_SINISA_Agua!G42+Base_SINISA_Agua!H42</f>
        <v>2720</v>
      </c>
      <c r="O42" s="13">
        <f>IF(Base_SINISA_2023!C42="Ausente","",Base_SINISA_2023!F42)</f>
        <v>2720</v>
      </c>
      <c r="P42" s="27">
        <f>IF(Base_SINISA_Agua!$C42="Ausente","n.c.",IF(O42="","n.c.",IF(N42="","n.c.",IF(N42+O42=0,"n.c.",(N(L42)+N(M42))/((N42+O42)/2)))))</f>
        <v>0</v>
      </c>
      <c r="Q42" s="13" t="str">
        <f>IF(Base_SINISA_Agua!$C42="Ausente","Insatisfatório (nota 5)",IF(O42="","Não calculado – falta ano-1 (nota 1)","Calculado (nota 6: &gt;100% é válido)"))</f>
        <v>Calculado (nota 6: &gt;100% é válido)</v>
      </c>
      <c r="R42" s="19"/>
      <c r="S42" s="19"/>
      <c r="T42" s="27" t="str">
        <f t="shared" si="0"/>
        <v>n.c.</v>
      </c>
      <c r="U42" s="13" t="str">
        <f t="shared" si="1"/>
        <v>Insatisfatório – sem coleta no SINISA (nota 2)</v>
      </c>
      <c r="V42" s="19"/>
      <c r="W42" s="19"/>
      <c r="X42" s="27" t="str">
        <f t="shared" si="2"/>
        <v>n.c.</v>
      </c>
      <c r="Y42" s="13" t="str">
        <f t="shared" si="3"/>
        <v>Insatisfatório – sem coleta no SINISA (nota 2)</v>
      </c>
      <c r="Z42" s="13">
        <f>Base_SINISA_Esgoto!M42</f>
        <v>1000</v>
      </c>
      <c r="AA42" s="13">
        <f>Base_SINISA_Esgoto!N42</f>
        <v>1000</v>
      </c>
      <c r="AB42" s="28">
        <f t="shared" si="4"/>
        <v>1</v>
      </c>
      <c r="AC42" s="13" t="str">
        <f>IF(Base_SINISA_Esgoto!$C42="Ausente","Insatisfatório (nota 5)",IF(OR(Z42="",Z42=0),"Insatisfatório – sem extravasamento reparado","Calculado"))</f>
        <v>Calculado</v>
      </c>
      <c r="AD42" s="13">
        <f>Base_SINISA_Esgoto!L42</f>
        <v>1000</v>
      </c>
      <c r="AE42" s="13">
        <f>Base_SINISA_Esgoto!T42</f>
        <v>94.5</v>
      </c>
      <c r="AF42" s="13">
        <f>IF(Base_SINISA_Esgoto_2023!C42="Ausente","",Base_SINISA_Esgoto_2023!E42)</f>
        <v>94.5</v>
      </c>
      <c r="AG42" s="29">
        <f>IF(Base_SINISA_Esgoto!$C42="Ausente","n.c.",IF(AE42="","n.c.",IF(AF42="","n.c.",IF(AE42+AF42=0,"n.c.",AD42/((AE42+AF42)/2)))))</f>
        <v>10.582010582010582</v>
      </c>
      <c r="AH42" s="13" t="str">
        <f>IF(Base_SINISA_Esgoto!$C42="Ausente","Insatisfatório (nota 5)",IF(AF42="","Não calculado – falta ano-1 (nota 1)",IF(AE42="","Insatisfatório – extensão de rede 2024 ausente","Calculado")))</f>
        <v>Calculado</v>
      </c>
    </row>
    <row r="44" spans="1:34" ht="15" customHeight="1" x14ac:dyDescent="0.35">
      <c r="B44" s="7" t="s">
        <v>381</v>
      </c>
    </row>
    <row r="45" spans="1:34" ht="39.75" customHeight="1" x14ac:dyDescent="0.35">
      <c r="B45" s="1" t="s">
        <v>382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39.75" customHeight="1" x14ac:dyDescent="0.35">
      <c r="B46" s="1" t="s">
        <v>383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39.75" customHeight="1" x14ac:dyDescent="0.35">
      <c r="B47" s="1" t="s">
        <v>384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39.75" customHeight="1" x14ac:dyDescent="0.35">
      <c r="B48" s="1" t="s">
        <v>385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2:34" ht="39.75" customHeight="1" x14ac:dyDescent="0.35">
      <c r="B49" s="1" t="s">
        <v>386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2:34" ht="39.75" customHeight="1" x14ac:dyDescent="0.35">
      <c r="B50" s="1" t="s">
        <v>387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2:34" ht="39.75" customHeight="1" x14ac:dyDescent="0.35">
      <c r="B51" s="1" t="s">
        <v>388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</sheetData>
  <mergeCells count="7">
    <mergeCell ref="B50:AH50"/>
    <mergeCell ref="B51:AH51"/>
    <mergeCell ref="B45:AH45"/>
    <mergeCell ref="B46:AH46"/>
    <mergeCell ref="B47:AH47"/>
    <mergeCell ref="B48:AH48"/>
    <mergeCell ref="B49:AH49"/>
  </mergeCells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5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328125" defaultRowHeight="14.5" x14ac:dyDescent="0.35"/>
  <cols>
    <col min="1" max="1" width="10" customWidth="1"/>
    <col min="2" max="2" width="22" customWidth="1"/>
    <col min="3" max="6" width="16" customWidth="1"/>
    <col min="7" max="8" width="18" customWidth="1"/>
    <col min="9" max="9" width="26" customWidth="1"/>
    <col min="10" max="10" width="16" customWidth="1"/>
    <col min="11" max="14" width="20" customWidth="1"/>
    <col min="15" max="16" width="26" customWidth="1"/>
    <col min="17" max="18" width="28" customWidth="1"/>
    <col min="19" max="19" width="24" customWidth="1"/>
    <col min="20" max="20" width="50" customWidth="1"/>
  </cols>
  <sheetData>
    <row r="1" spans="1:20" ht="17.25" customHeight="1" x14ac:dyDescent="0.4">
      <c r="A1" s="6" t="s">
        <v>389</v>
      </c>
    </row>
    <row r="2" spans="1:20" ht="45.75" customHeight="1" x14ac:dyDescent="0.35">
      <c r="A2" s="11" t="s">
        <v>63</v>
      </c>
      <c r="B2" s="11" t="s">
        <v>64</v>
      </c>
      <c r="C2" s="11" t="s">
        <v>390</v>
      </c>
      <c r="D2" s="11" t="s">
        <v>391</v>
      </c>
      <c r="E2" s="11" t="s">
        <v>392</v>
      </c>
      <c r="F2" s="11" t="s">
        <v>393</v>
      </c>
      <c r="G2" s="11" t="s">
        <v>394</v>
      </c>
      <c r="H2" s="11" t="s">
        <v>395</v>
      </c>
      <c r="I2" s="11" t="s">
        <v>396</v>
      </c>
      <c r="J2" s="11" t="s">
        <v>397</v>
      </c>
      <c r="K2" s="11" t="s">
        <v>398</v>
      </c>
      <c r="L2" s="11" t="s">
        <v>399</v>
      </c>
      <c r="M2" s="11" t="s">
        <v>400</v>
      </c>
      <c r="N2" s="11" t="s">
        <v>401</v>
      </c>
      <c r="O2" s="11" t="s">
        <v>402</v>
      </c>
      <c r="P2" s="11" t="s">
        <v>403</v>
      </c>
      <c r="Q2" s="11" t="s">
        <v>404</v>
      </c>
      <c r="R2" s="11" t="s">
        <v>405</v>
      </c>
      <c r="S2" s="11" t="s">
        <v>256</v>
      </c>
      <c r="T2" s="11" t="s">
        <v>344</v>
      </c>
    </row>
    <row r="3" spans="1:20" ht="15" customHeight="1" x14ac:dyDescent="0.35">
      <c r="A3" s="12">
        <v>3100302</v>
      </c>
      <c r="B3" s="12" t="s">
        <v>94</v>
      </c>
      <c r="C3" s="13" t="str">
        <f>Base_SINISA_Agua!C3</f>
        <v>Presente</v>
      </c>
      <c r="D3" s="13" t="str">
        <f>Base_SINISA_Esgoto!C3</f>
        <v>Presente</v>
      </c>
      <c r="E3" s="13">
        <f>Base_SINISA_Agua!AC3</f>
        <v>0</v>
      </c>
      <c r="F3" s="13">
        <f>Base_SINISA_Esgoto!Q3</f>
        <v>5</v>
      </c>
      <c r="G3" s="13" t="str">
        <f>Base_Denominadores!H3</f>
        <v>OK</v>
      </c>
      <c r="H3" s="13" t="str">
        <f>Base_Denominadores!I3</f>
        <v>Denominador ausente</v>
      </c>
      <c r="I3" s="13" t="str">
        <f>Base_Denominadores!J3</f>
        <v>OK</v>
      </c>
      <c r="J3" s="13" t="str">
        <f>Sol_Alternativas!C3</f>
        <v>Sim</v>
      </c>
      <c r="K3" s="13" t="str">
        <f>Base_SINISA_Agua!AD3</f>
        <v>OK</v>
      </c>
      <c r="L3" s="13" t="str">
        <f>Base_SINISA_Agua!AE3</f>
        <v>OK</v>
      </c>
      <c r="M3" s="13" t="str">
        <f>Base_SINISA_Esgoto!R3</f>
        <v>n.a.</v>
      </c>
      <c r="N3" s="13" t="str">
        <f>Base_SINISA_Esgoto!S3</f>
        <v>n.a.</v>
      </c>
      <c r="O3" s="13" t="str">
        <f>IF(OR(NOT(ISNUMBER(Resultados!C3)),NOT(ISNUMBER(Resultados!E3))),"n.a.",IF(Resultados!E3&gt;=Resultados!C3,"OK","Alerta de coerência – cobertura &lt; atendimento"))</f>
        <v>n.a.</v>
      </c>
      <c r="P3" s="13" t="str">
        <f>IF(OR(NOT(ISNUMBER(Resultados!G3)),NOT(ISNUMBER(Resultados!I3))),"n.a.",IF(Resultados!I3&gt;=Resultados!G3,"OK","Alerta de coerência – cobertura &lt; atendimento"))</f>
        <v>n.a.</v>
      </c>
      <c r="Q3" s="13" t="str">
        <f>IF(SUMPRODUCT((ISNUMBER(Resultados!C3:J3))*(N(Resultados!C3:J3)&gt;1))&gt;0,"Alerta de consistência – acima de 100%","OK")</f>
        <v>OK</v>
      </c>
      <c r="R3" s="13" t="str">
        <f>IF(Base_SINISA_Esgoto!C3="Ausente","n.a.",IF(AND(N(Base_SINISA_Esgoto!K3)&gt;0,N(Base_SINISA_Esgoto!E3)+N(Base_SINISA_Esgoto!F3)=0),"Atenção – ligações ativas sem tratamento","OK"))</f>
        <v>Atenção – ligações ativas sem tratamento</v>
      </c>
      <c r="S3" s="13" t="str">
        <f>Controle_Oficios!G3</f>
        <v>Enviado – sem resposta</v>
      </c>
      <c r="T3" s="13" t="str">
        <f>Resultados!Q3</f>
        <v>Não avaliada – ausência de elementos suficientes para aplicação dos testes de controle</v>
      </c>
    </row>
    <row r="4" spans="1:20" ht="15" customHeight="1" x14ac:dyDescent="0.35">
      <c r="A4" s="12">
        <v>3100401</v>
      </c>
      <c r="B4" s="12" t="s">
        <v>97</v>
      </c>
      <c r="C4" s="13" t="str">
        <f>Base_SINISA_Agua!C4</f>
        <v>Presente</v>
      </c>
      <c r="D4" s="13" t="str">
        <f>Base_SINISA_Esgoto!C4</f>
        <v>Presente</v>
      </c>
      <c r="E4" s="13">
        <f>Base_SINISA_Agua!AC4</f>
        <v>0</v>
      </c>
      <c r="F4" s="13">
        <f>Base_SINISA_Esgoto!Q4</f>
        <v>0</v>
      </c>
      <c r="G4" s="13" t="str">
        <f>Base_Denominadores!H4</f>
        <v>OK</v>
      </c>
      <c r="H4" s="13" t="str">
        <f>Base_Denominadores!I4</f>
        <v>OK</v>
      </c>
      <c r="I4" s="13" t="str">
        <f>Base_Denominadores!J4</f>
        <v>OK</v>
      </c>
      <c r="J4" s="13" t="str">
        <f>Sol_Alternativas!C4</f>
        <v>Sim</v>
      </c>
      <c r="K4" s="13" t="str">
        <f>Base_SINISA_Agua!AD4</f>
        <v>OK</v>
      </c>
      <c r="L4" s="13" t="str">
        <f>Base_SINISA_Agua!AE4</f>
        <v>OK</v>
      </c>
      <c r="M4" s="13" t="str">
        <f>Base_SINISA_Esgoto!R4</f>
        <v>OK</v>
      </c>
      <c r="N4" s="13" t="str">
        <f>Base_SINISA_Esgoto!S4</f>
        <v>OK</v>
      </c>
      <c r="O4" s="13" t="str">
        <f>IF(OR(NOT(ISNUMBER(Resultados!C4)),NOT(ISNUMBER(Resultados!E4))),"n.a.",IF(Resultados!E4&gt;=Resultados!C4,"OK","Alerta de coerência – cobertura &lt; atendimento"))</f>
        <v>Alerta de coerência – cobertura &lt; atendimento</v>
      </c>
      <c r="P4" s="13" t="str">
        <f>IF(OR(NOT(ISNUMBER(Resultados!G4)),NOT(ISNUMBER(Resultados!I4))),"n.a.",IF(Resultados!I4&gt;=Resultados!G4,"OK","Alerta de coerência – cobertura &lt; atendimento"))</f>
        <v>OK</v>
      </c>
      <c r="Q4" s="13" t="str">
        <f>IF(SUMPRODUCT((ISNUMBER(Resultados!C4:J4))*(N(Resultados!C4:J4)&gt;1))&gt;0,"Alerta de consistência – acima de 100%","OK")</f>
        <v>Alerta de consistência – acima de 100%</v>
      </c>
      <c r="R4" s="13" t="str">
        <f>IF(Base_SINISA_Esgoto!C4="Ausente","n.a.",IF(AND(N(Base_SINISA_Esgoto!K4)&gt;0,N(Base_SINISA_Esgoto!E4)+N(Base_SINISA_Esgoto!F4)=0),"Atenção – ligações ativas sem tratamento","OK"))</f>
        <v>Atenção – ligações ativas sem tratamento</v>
      </c>
      <c r="S4" s="13" t="str">
        <f>Controle_Oficios!G4</f>
        <v>Enviado – sem resposta</v>
      </c>
      <c r="T4" s="13" t="str">
        <f>Resultados!Q4</f>
        <v>Não avaliada – ausência de elementos suficientes para aplicação dos testes de controle</v>
      </c>
    </row>
    <row r="5" spans="1:20" ht="15" customHeight="1" x14ac:dyDescent="0.35">
      <c r="A5" s="12">
        <v>3101102</v>
      </c>
      <c r="B5" s="12" t="s">
        <v>99</v>
      </c>
      <c r="C5" s="13" t="str">
        <f>Base_SINISA_Agua!C5</f>
        <v>Presente</v>
      </c>
      <c r="D5" s="13" t="str">
        <f>Base_SINISA_Esgoto!C5</f>
        <v>Presente</v>
      </c>
      <c r="E5" s="13">
        <f>Base_SINISA_Agua!AC5</f>
        <v>0</v>
      </c>
      <c r="F5" s="13">
        <f>Base_SINISA_Esgoto!Q5</f>
        <v>4</v>
      </c>
      <c r="G5" s="13" t="str">
        <f>Base_Denominadores!H5</f>
        <v>OK</v>
      </c>
      <c r="H5" s="13" t="str">
        <f>Base_Denominadores!I5</f>
        <v>OK</v>
      </c>
      <c r="I5" s="13" t="str">
        <f>Base_Denominadores!J5</f>
        <v>OK</v>
      </c>
      <c r="J5" s="13" t="str">
        <f>Sol_Alternativas!C5</f>
        <v>Não</v>
      </c>
      <c r="K5" s="13" t="str">
        <f>Base_SINISA_Agua!AD5</f>
        <v>OK</v>
      </c>
      <c r="L5" s="13" t="str">
        <f>Base_SINISA_Agua!AE5</f>
        <v>OK</v>
      </c>
      <c r="M5" s="13" t="str">
        <f>Base_SINISA_Esgoto!R5</f>
        <v>OK</v>
      </c>
      <c r="N5" s="13" t="str">
        <f>Base_SINISA_Esgoto!S5</f>
        <v>n.a.</v>
      </c>
      <c r="O5" s="13" t="str">
        <f>IF(OR(NOT(ISNUMBER(Resultados!C5)),NOT(ISNUMBER(Resultados!E5))),"n.a.",IF(Resultados!E5&gt;=Resultados!C5,"OK","Alerta de coerência – cobertura &lt; atendimento"))</f>
        <v>OK</v>
      </c>
      <c r="P5" s="13" t="str">
        <f>IF(OR(NOT(ISNUMBER(Resultados!G5)),NOT(ISNUMBER(Resultados!I5))),"n.a.",IF(Resultados!I5&gt;=Resultados!G5,"OK","Alerta de coerência – cobertura &lt; atendimento"))</f>
        <v>Alerta de coerência – cobertura &lt; atendimento</v>
      </c>
      <c r="Q5" s="13" t="str">
        <f>IF(SUMPRODUCT((ISNUMBER(Resultados!C5:J5))*(N(Resultados!C5:J5)&gt;1))&gt;0,"Alerta de consistência – acima de 100%","OK")</f>
        <v>OK</v>
      </c>
      <c r="R5" s="13" t="str">
        <f>IF(Base_SINISA_Esgoto!C5="Ausente","n.a.",IF(AND(N(Base_SINISA_Esgoto!K5)&gt;0,N(Base_SINISA_Esgoto!E5)+N(Base_SINISA_Esgoto!F5)=0),"Atenção – ligações ativas sem tratamento","OK"))</f>
        <v>OK</v>
      </c>
      <c r="S5" s="13" t="str">
        <f>Controle_Oficios!G5</f>
        <v>Enviado – sem resposta</v>
      </c>
      <c r="T5" s="13" t="str">
        <f>Resultados!Q5</f>
        <v>Não avaliada – ausência de elementos suficientes para aplicação dos testes de controle</v>
      </c>
    </row>
    <row r="6" spans="1:20" ht="15" customHeight="1" x14ac:dyDescent="0.35">
      <c r="A6" s="12">
        <v>3108701</v>
      </c>
      <c r="B6" s="12" t="s">
        <v>100</v>
      </c>
      <c r="C6" s="13" t="str">
        <f>Base_SINISA_Agua!C6</f>
        <v>Presente</v>
      </c>
      <c r="D6" s="13" t="str">
        <f>Base_SINISA_Esgoto!C6</f>
        <v>Ausente</v>
      </c>
      <c r="E6" s="13">
        <f>Base_SINISA_Agua!AC6</f>
        <v>0</v>
      </c>
      <c r="F6" s="13">
        <f>Base_SINISA_Esgoto!Q6</f>
        <v>6</v>
      </c>
      <c r="G6" s="13" t="str">
        <f>Base_Denominadores!H6</f>
        <v>Denominador ausente</v>
      </c>
      <c r="H6" s="13" t="str">
        <f>Base_Denominadores!I6</f>
        <v>Denominador ausente</v>
      </c>
      <c r="I6" s="13" t="str">
        <f>Base_Denominadores!J6</f>
        <v>OK</v>
      </c>
      <c r="J6" s="13" t="str">
        <f>Sol_Alternativas!C6</f>
        <v>Sim</v>
      </c>
      <c r="K6" s="13" t="str">
        <f>Base_SINISA_Agua!AD6</f>
        <v>OK</v>
      </c>
      <c r="L6" s="13" t="str">
        <f>Base_SINISA_Agua!AE6</f>
        <v>OK</v>
      </c>
      <c r="M6" s="13" t="str">
        <f>Base_SINISA_Esgoto!R6</f>
        <v>n.a.</v>
      </c>
      <c r="N6" s="13" t="str">
        <f>Base_SINISA_Esgoto!S6</f>
        <v>n.a.</v>
      </c>
      <c r="O6" s="13" t="str">
        <f>IF(OR(NOT(ISNUMBER(Resultados!C6)),NOT(ISNUMBER(Resultados!E6))),"n.a.",IF(Resultados!E6&gt;=Resultados!C6,"OK","Alerta de coerência – cobertura &lt; atendimento"))</f>
        <v>n.a.</v>
      </c>
      <c r="P6" s="13" t="str">
        <f>IF(OR(NOT(ISNUMBER(Resultados!G6)),NOT(ISNUMBER(Resultados!I6))),"n.a.",IF(Resultados!I6&gt;=Resultados!G6,"OK","Alerta de coerência – cobertura &lt; atendimento"))</f>
        <v>n.a.</v>
      </c>
      <c r="Q6" s="13" t="str">
        <f>IF(SUMPRODUCT((ISNUMBER(Resultados!C6:J6))*(N(Resultados!C6:J6)&gt;1))&gt;0,"Alerta de consistência – acima de 100%","OK")</f>
        <v>OK</v>
      </c>
      <c r="R6" s="13" t="str">
        <f>IF(Base_SINISA_Esgoto!C6="Ausente","n.a.",IF(AND(N(Base_SINISA_Esgoto!K6)&gt;0,N(Base_SINISA_Esgoto!E6)+N(Base_SINISA_Esgoto!F6)=0),"Atenção – ligações ativas sem tratamento","OK"))</f>
        <v>n.a.</v>
      </c>
      <c r="S6" s="13" t="str">
        <f>Controle_Oficios!G6</f>
        <v>Não enviado/não localizado</v>
      </c>
      <c r="T6" s="13" t="str">
        <f>Resultados!Q6</f>
        <v>Não avaliada – ausência de elementos suficientes para aplicação dos testes de controle</v>
      </c>
    </row>
    <row r="7" spans="1:20" ht="15" customHeight="1" x14ac:dyDescent="0.35">
      <c r="A7" s="12">
        <v>3113107</v>
      </c>
      <c r="B7" s="12" t="s">
        <v>102</v>
      </c>
      <c r="C7" s="13" t="str">
        <f>Base_SINISA_Agua!C7</f>
        <v>Presente</v>
      </c>
      <c r="D7" s="13" t="str">
        <f>Base_SINISA_Esgoto!C7</f>
        <v>Presente</v>
      </c>
      <c r="E7" s="13">
        <f>Base_SINISA_Agua!AC7</f>
        <v>1</v>
      </c>
      <c r="F7" s="13">
        <f>Base_SINISA_Esgoto!Q7</f>
        <v>5</v>
      </c>
      <c r="G7" s="13" t="str">
        <f>Base_Denominadores!H7</f>
        <v>OK</v>
      </c>
      <c r="H7" s="13" t="str">
        <f>Base_Denominadores!I7</f>
        <v>Denominador ausente</v>
      </c>
      <c r="I7" s="13" t="str">
        <f>Base_Denominadores!J7</f>
        <v>OK</v>
      </c>
      <c r="J7" s="13" t="str">
        <f>Sol_Alternativas!C7</f>
        <v>Sim</v>
      </c>
      <c r="K7" s="13" t="str">
        <f>Base_SINISA_Agua!AD7</f>
        <v>OK</v>
      </c>
      <c r="L7" s="13" t="str">
        <f>Base_SINISA_Agua!AE7</f>
        <v>OK</v>
      </c>
      <c r="M7" s="13" t="str">
        <f>Base_SINISA_Esgoto!R7</f>
        <v>n.a.</v>
      </c>
      <c r="N7" s="13" t="str">
        <f>Base_SINISA_Esgoto!S7</f>
        <v>n.a.</v>
      </c>
      <c r="O7" s="13" t="str">
        <f>IF(OR(NOT(ISNUMBER(Resultados!C7)),NOT(ISNUMBER(Resultados!E7))),"n.a.",IF(Resultados!E7&gt;=Resultados!C7,"OK","Alerta de coerência – cobertura &lt; atendimento"))</f>
        <v>n.a.</v>
      </c>
      <c r="P7" s="13" t="str">
        <f>IF(OR(NOT(ISNUMBER(Resultados!G7)),NOT(ISNUMBER(Resultados!I7))),"n.a.",IF(Resultados!I7&gt;=Resultados!G7,"OK","Alerta de coerência – cobertura &lt; atendimento"))</f>
        <v>n.a.</v>
      </c>
      <c r="Q7" s="13" t="str">
        <f>IF(SUMPRODUCT((ISNUMBER(Resultados!C7:J7))*(N(Resultados!C7:J7)&gt;1))&gt;0,"Alerta de consistência – acima de 100%","OK")</f>
        <v>Alerta de consistência – acima de 100%</v>
      </c>
      <c r="R7" s="13" t="str">
        <f>IF(Base_SINISA_Esgoto!C7="Ausente","n.a.",IF(AND(N(Base_SINISA_Esgoto!K7)&gt;0,N(Base_SINISA_Esgoto!E7)+N(Base_SINISA_Esgoto!F7)=0),"Atenção – ligações ativas sem tratamento","OK"))</f>
        <v>Atenção – ligações ativas sem tratamento</v>
      </c>
      <c r="S7" s="13" t="str">
        <f>Controle_Oficios!G7</f>
        <v>Respondeu – parcialmente</v>
      </c>
      <c r="T7" s="13" t="str">
        <f>Resultados!Q7</f>
        <v>Não avaliada – ausência de elementos suficientes para aplicação dos testes de controle</v>
      </c>
    </row>
    <row r="8" spans="1:20" ht="15" customHeight="1" x14ac:dyDescent="0.35">
      <c r="A8" s="12">
        <v>3113305</v>
      </c>
      <c r="B8" s="12" t="s">
        <v>104</v>
      </c>
      <c r="C8" s="13" t="str">
        <f>Base_SINISA_Agua!C8</f>
        <v>Presente</v>
      </c>
      <c r="D8" s="13" t="str">
        <f>Base_SINISA_Esgoto!C8</f>
        <v>Presente</v>
      </c>
      <c r="E8" s="13">
        <f>Base_SINISA_Agua!AC8</f>
        <v>1</v>
      </c>
      <c r="F8" s="13">
        <f>Base_SINISA_Esgoto!Q8</f>
        <v>2</v>
      </c>
      <c r="G8" s="13" t="str">
        <f>Base_Denominadores!H8</f>
        <v>OK</v>
      </c>
      <c r="H8" s="13" t="str">
        <f>Base_Denominadores!I8</f>
        <v>OK</v>
      </c>
      <c r="I8" s="13" t="str">
        <f>Base_Denominadores!J8</f>
        <v>Incoerente – ICA/ICE menor que domicílios residenciais ocupados</v>
      </c>
      <c r="J8" s="13" t="str">
        <f>Sol_Alternativas!C8</f>
        <v>Sim</v>
      </c>
      <c r="K8" s="13" t="str">
        <f>Base_SINISA_Agua!AD8</f>
        <v>OK</v>
      </c>
      <c r="L8" s="13" t="str">
        <f>Base_SINISA_Agua!AE8</f>
        <v>OK</v>
      </c>
      <c r="M8" s="13" t="str">
        <f>Base_SINISA_Esgoto!R8</f>
        <v>n.a.</v>
      </c>
      <c r="N8" s="13" t="str">
        <f>Base_SINISA_Esgoto!S8</f>
        <v>OK</v>
      </c>
      <c r="O8" s="13" t="str">
        <f>IF(OR(NOT(ISNUMBER(Resultados!C8)),NOT(ISNUMBER(Resultados!E8))),"n.a.",IF(Resultados!E8&gt;=Resultados!C8,"OK","Alerta de coerência – cobertura &lt; atendimento"))</f>
        <v>n.a.</v>
      </c>
      <c r="P8" s="13" t="str">
        <f>IF(OR(NOT(ISNUMBER(Resultados!G8)),NOT(ISNUMBER(Resultados!I8))),"n.a.",IF(Resultados!I8&gt;=Resultados!G8,"OK","Alerta de coerência – cobertura &lt; atendimento"))</f>
        <v>n.a.</v>
      </c>
      <c r="Q8" s="13" t="str">
        <f>IF(SUMPRODUCT((ISNUMBER(Resultados!C8:J8))*(N(Resultados!C8:J8)&gt;1))&gt;0,"Alerta de consistência – acima de 100%","OK")</f>
        <v>OK</v>
      </c>
      <c r="R8" s="13" t="str">
        <f>IF(Base_SINISA_Esgoto!C8="Ausente","n.a.",IF(AND(N(Base_SINISA_Esgoto!K8)&gt;0,N(Base_SINISA_Esgoto!E8)+N(Base_SINISA_Esgoto!F8)=0),"Atenção – ligações ativas sem tratamento","OK"))</f>
        <v>OK</v>
      </c>
      <c r="S8" s="13" t="str">
        <f>Controle_Oficios!G8</f>
        <v>Enviado – sem resposta</v>
      </c>
      <c r="T8" s="13" t="str">
        <f>Resultados!Q8</f>
        <v>Não avaliada – ausência de elementos suficientes para aplicação dos testes de controle</v>
      </c>
    </row>
    <row r="9" spans="1:20" ht="15" customHeight="1" x14ac:dyDescent="0.35">
      <c r="A9" s="12">
        <v>3116001</v>
      </c>
      <c r="B9" s="12" t="s">
        <v>106</v>
      </c>
      <c r="C9" s="13" t="str">
        <f>Base_SINISA_Agua!C9</f>
        <v>Ausente</v>
      </c>
      <c r="D9" s="13" t="str">
        <f>Base_SINISA_Esgoto!C9</f>
        <v>Ausente</v>
      </c>
      <c r="E9" s="13">
        <f>Base_SINISA_Agua!AC9</f>
        <v>6</v>
      </c>
      <c r="F9" s="13">
        <f>Base_SINISA_Esgoto!Q9</f>
        <v>6</v>
      </c>
      <c r="G9" s="13" t="str">
        <f>Base_Denominadores!H9</f>
        <v>OK</v>
      </c>
      <c r="H9" s="13" t="str">
        <f>Base_Denominadores!I9</f>
        <v>Denominador ausente</v>
      </c>
      <c r="I9" s="13" t="str">
        <f>Base_Denominadores!J9</f>
        <v>OK</v>
      </c>
      <c r="J9" s="13" t="str">
        <f>Sol_Alternativas!C9</f>
        <v>Sim</v>
      </c>
      <c r="K9" s="13" t="str">
        <f>Base_SINISA_Agua!AD9</f>
        <v>n.a.</v>
      </c>
      <c r="L9" s="13" t="str">
        <f>Base_SINISA_Agua!AE9</f>
        <v>n.a.</v>
      </c>
      <c r="M9" s="13" t="str">
        <f>Base_SINISA_Esgoto!R9</f>
        <v>n.a.</v>
      </c>
      <c r="N9" s="13" t="str">
        <f>Base_SINISA_Esgoto!S9</f>
        <v>n.a.</v>
      </c>
      <c r="O9" s="13" t="str">
        <f>IF(OR(NOT(ISNUMBER(Resultados!C9)),NOT(ISNUMBER(Resultados!E9))),"n.a.",IF(Resultados!E9&gt;=Resultados!C9,"OK","Alerta de coerência – cobertura &lt; atendimento"))</f>
        <v>n.a.</v>
      </c>
      <c r="P9" s="13" t="str">
        <f>IF(OR(NOT(ISNUMBER(Resultados!G9)),NOT(ISNUMBER(Resultados!I9))),"n.a.",IF(Resultados!I9&gt;=Resultados!G9,"OK","Alerta de coerência – cobertura &lt; atendimento"))</f>
        <v>n.a.</v>
      </c>
      <c r="Q9" s="13" t="str">
        <f>IF(SUMPRODUCT((ISNUMBER(Resultados!C9:J9))*(N(Resultados!C9:J9)&gt;1))&gt;0,"Alerta de consistência – acima de 100%","OK")</f>
        <v>OK</v>
      </c>
      <c r="R9" s="13" t="str">
        <f>IF(Base_SINISA_Esgoto!C9="Ausente","n.a.",IF(AND(N(Base_SINISA_Esgoto!K9)&gt;0,N(Base_SINISA_Esgoto!E9)+N(Base_SINISA_Esgoto!F9)=0),"Atenção – ligações ativas sem tratamento","OK"))</f>
        <v>n.a.</v>
      </c>
      <c r="S9" s="13" t="str">
        <f>Controle_Oficios!G9</f>
        <v>Enviado – sem resposta</v>
      </c>
      <c r="T9" s="13" t="str">
        <f>Resultados!Q9</f>
        <v>Não avaliada – informação primária indisponível</v>
      </c>
    </row>
    <row r="10" spans="1:20" ht="15" customHeight="1" x14ac:dyDescent="0.35">
      <c r="A10" s="12">
        <v>3118403</v>
      </c>
      <c r="B10" s="12" t="s">
        <v>108</v>
      </c>
      <c r="C10" s="13" t="str">
        <f>Base_SINISA_Agua!C10</f>
        <v>Presente</v>
      </c>
      <c r="D10" s="13" t="str">
        <f>Base_SINISA_Esgoto!C10</f>
        <v>Presente</v>
      </c>
      <c r="E10" s="13">
        <f>Base_SINISA_Agua!AC10</f>
        <v>2</v>
      </c>
      <c r="F10" s="13">
        <f>Base_SINISA_Esgoto!Q10</f>
        <v>5</v>
      </c>
      <c r="G10" s="13" t="str">
        <f>Base_Denominadores!H10</f>
        <v>OK</v>
      </c>
      <c r="H10" s="13" t="str">
        <f>Base_Denominadores!I10</f>
        <v>OK</v>
      </c>
      <c r="I10" s="13" t="str">
        <f>Base_Denominadores!J10</f>
        <v>Incoerente – ICA/ICE menor que domicílios residenciais ocupados</v>
      </c>
      <c r="J10" s="13" t="str">
        <f>Sol_Alternativas!C10</f>
        <v>Sim</v>
      </c>
      <c r="K10" s="13" t="str">
        <f>Base_SINISA_Agua!AD10</f>
        <v>OK</v>
      </c>
      <c r="L10" s="13" t="str">
        <f>Base_SINISA_Agua!AE10</f>
        <v>OK</v>
      </c>
      <c r="M10" s="13" t="str">
        <f>Base_SINISA_Esgoto!R10</f>
        <v>n.a.</v>
      </c>
      <c r="N10" s="13" t="str">
        <f>Base_SINISA_Esgoto!S10</f>
        <v>n.a.</v>
      </c>
      <c r="O10" s="13" t="str">
        <f>IF(OR(NOT(ISNUMBER(Resultados!C10)),NOT(ISNUMBER(Resultados!E10))),"n.a.",IF(Resultados!E10&gt;=Resultados!C10,"OK","Alerta de coerência – cobertura &lt; atendimento"))</f>
        <v>n.a.</v>
      </c>
      <c r="P10" s="13" t="str">
        <f>IF(OR(NOT(ISNUMBER(Resultados!G10)),NOT(ISNUMBER(Resultados!I10))),"n.a.",IF(Resultados!I10&gt;=Resultados!G10,"OK","Alerta de coerência – cobertura &lt; atendimento"))</f>
        <v>n.a.</v>
      </c>
      <c r="Q10" s="13" t="str">
        <f>IF(SUMPRODUCT((ISNUMBER(Resultados!C10:J10))*(N(Resultados!C10:J10)&gt;1))&gt;0,"Alerta de consistência – acima de 100%","OK")</f>
        <v>OK</v>
      </c>
      <c r="R10" s="13" t="str">
        <f>IF(Base_SINISA_Esgoto!C10="Ausente","n.a.",IF(AND(N(Base_SINISA_Esgoto!K10)&gt;0,N(Base_SINISA_Esgoto!E10)+N(Base_SINISA_Esgoto!F10)=0),"Atenção – ligações ativas sem tratamento","OK"))</f>
        <v>Atenção – ligações ativas sem tratamento</v>
      </c>
      <c r="S10" s="13" t="str">
        <f>Controle_Oficios!G10</f>
        <v>Enviado – sem resposta</v>
      </c>
      <c r="T10" s="13" t="str">
        <f>Resultados!Q10</f>
        <v>Não avaliada – ausência de elementos suficientes para aplicação dos testes de controle</v>
      </c>
    </row>
    <row r="11" spans="1:20" ht="15" customHeight="1" x14ac:dyDescent="0.35">
      <c r="A11" s="12">
        <v>3127701</v>
      </c>
      <c r="B11" s="12" t="s">
        <v>109</v>
      </c>
      <c r="C11" s="13" t="str">
        <f>Base_SINISA_Agua!C11</f>
        <v>Presente</v>
      </c>
      <c r="D11" s="13" t="str">
        <f>Base_SINISA_Esgoto!C11</f>
        <v>Presente</v>
      </c>
      <c r="E11" s="13">
        <f>Base_SINISA_Agua!AC11</f>
        <v>0</v>
      </c>
      <c r="F11" s="13">
        <f>Base_SINISA_Esgoto!Q11</f>
        <v>5</v>
      </c>
      <c r="G11" s="13" t="str">
        <f>Base_Denominadores!H11</f>
        <v>OK</v>
      </c>
      <c r="H11" s="13" t="str">
        <f>Base_Denominadores!I11</f>
        <v>OK</v>
      </c>
      <c r="I11" s="13" t="str">
        <f>Base_Denominadores!J11</f>
        <v>OK</v>
      </c>
      <c r="J11" s="13" t="str">
        <f>Sol_Alternativas!C11</f>
        <v>Sim</v>
      </c>
      <c r="K11" s="13" t="str">
        <f>Base_SINISA_Agua!AD11</f>
        <v>OK</v>
      </c>
      <c r="L11" s="13" t="str">
        <f>Base_SINISA_Agua!AE11</f>
        <v>OK</v>
      </c>
      <c r="M11" s="13" t="str">
        <f>Base_SINISA_Esgoto!R11</f>
        <v>n.a.</v>
      </c>
      <c r="N11" s="13" t="str">
        <f>Base_SINISA_Esgoto!S11</f>
        <v>n.a.</v>
      </c>
      <c r="O11" s="13" t="str">
        <f>IF(OR(NOT(ISNUMBER(Resultados!C11)),NOT(ISNUMBER(Resultados!E11))),"n.a.",IF(Resultados!E11&gt;=Resultados!C11,"OK","Alerta de coerência – cobertura &lt; atendimento"))</f>
        <v>Alerta de coerência – cobertura &lt; atendimento</v>
      </c>
      <c r="P11" s="13" t="str">
        <f>IF(OR(NOT(ISNUMBER(Resultados!G11)),NOT(ISNUMBER(Resultados!I11))),"n.a.",IF(Resultados!I11&gt;=Resultados!G11,"OK","Alerta de coerência – cobertura &lt; atendimento"))</f>
        <v>OK</v>
      </c>
      <c r="Q11" s="13" t="str">
        <f>IF(SUMPRODUCT((ISNUMBER(Resultados!C11:J11))*(N(Resultados!C11:J11)&gt;1))&gt;0,"Alerta de consistência – acima de 100%","OK")</f>
        <v>Alerta de consistência – acima de 100%</v>
      </c>
      <c r="R11" s="13" t="str">
        <f>IF(Base_SINISA_Esgoto!C11="Ausente","n.a.",IF(AND(N(Base_SINISA_Esgoto!K11)&gt;0,N(Base_SINISA_Esgoto!E11)+N(Base_SINISA_Esgoto!F11)=0),"Atenção – ligações ativas sem tratamento","OK"))</f>
        <v>Atenção – ligações ativas sem tratamento</v>
      </c>
      <c r="S11" s="13" t="str">
        <f>Controle_Oficios!G11</f>
        <v>Enviado – sem resposta</v>
      </c>
      <c r="T11" s="13" t="str">
        <f>Resultados!Q11</f>
        <v>Não avaliada – ausência de elementos suficientes para aplicação dos testes de controle</v>
      </c>
    </row>
    <row r="12" spans="1:20" ht="15" customHeight="1" x14ac:dyDescent="0.35">
      <c r="A12" s="12">
        <v>3128402</v>
      </c>
      <c r="B12" s="12" t="s">
        <v>111</v>
      </c>
      <c r="C12" s="13" t="str">
        <f>Base_SINISA_Agua!C12</f>
        <v>Presente</v>
      </c>
      <c r="D12" s="13" t="str">
        <f>Base_SINISA_Esgoto!C12</f>
        <v>Presente</v>
      </c>
      <c r="E12" s="13">
        <f>Base_SINISA_Agua!AC12</f>
        <v>0</v>
      </c>
      <c r="F12" s="13">
        <f>Base_SINISA_Esgoto!Q12</f>
        <v>5</v>
      </c>
      <c r="G12" s="13" t="str">
        <f>Base_Denominadores!H12</f>
        <v>Denominador ausente</v>
      </c>
      <c r="H12" s="13" t="str">
        <f>Base_Denominadores!I12</f>
        <v>Denominador ausente</v>
      </c>
      <c r="I12" s="13" t="str">
        <f>Base_Denominadores!J12</f>
        <v>OK</v>
      </c>
      <c r="J12" s="13" t="str">
        <f>Sol_Alternativas!C12</f>
        <v>Sim</v>
      </c>
      <c r="K12" s="13" t="str">
        <f>Base_SINISA_Agua!AD12</f>
        <v>OK</v>
      </c>
      <c r="L12" s="13" t="str">
        <f>Base_SINISA_Agua!AE12</f>
        <v>OK</v>
      </c>
      <c r="M12" s="13" t="str">
        <f>Base_SINISA_Esgoto!R12</f>
        <v>n.a.</v>
      </c>
      <c r="N12" s="13" t="str">
        <f>Base_SINISA_Esgoto!S12</f>
        <v>n.a.</v>
      </c>
      <c r="O12" s="13" t="str">
        <f>IF(OR(NOT(ISNUMBER(Resultados!C12)),NOT(ISNUMBER(Resultados!E12))),"n.a.",IF(Resultados!E12&gt;=Resultados!C12,"OK","Alerta de coerência – cobertura &lt; atendimento"))</f>
        <v>n.a.</v>
      </c>
      <c r="P12" s="13" t="str">
        <f>IF(OR(NOT(ISNUMBER(Resultados!G12)),NOT(ISNUMBER(Resultados!I12))),"n.a.",IF(Resultados!I12&gt;=Resultados!G12,"OK","Alerta de coerência – cobertura &lt; atendimento"))</f>
        <v>n.a.</v>
      </c>
      <c r="Q12" s="13" t="str">
        <f>IF(SUMPRODUCT((ISNUMBER(Resultados!C12:J12))*(N(Resultados!C12:J12)&gt;1))&gt;0,"Alerta de consistência – acima de 100%","OK")</f>
        <v>OK</v>
      </c>
      <c r="R12" s="13" t="str">
        <f>IF(Base_SINISA_Esgoto!C12="Ausente","n.a.",IF(AND(N(Base_SINISA_Esgoto!K12)&gt;0,N(Base_SINISA_Esgoto!E12)+N(Base_SINISA_Esgoto!F12)=0),"Atenção – ligações ativas sem tratamento","OK"))</f>
        <v>OK</v>
      </c>
      <c r="S12" s="13" t="str">
        <f>Controle_Oficios!G12</f>
        <v>Enviado – sem resposta</v>
      </c>
      <c r="T12" s="13" t="str">
        <f>Resultados!Q12</f>
        <v>Não avaliada – ausência de elementos suficientes para aplicação dos testes de controle</v>
      </c>
    </row>
    <row r="13" spans="1:20" ht="15" customHeight="1" x14ac:dyDescent="0.35">
      <c r="A13" s="12">
        <v>3131208</v>
      </c>
      <c r="B13" s="12" t="s">
        <v>113</v>
      </c>
      <c r="C13" s="13" t="str">
        <f>Base_SINISA_Agua!C13</f>
        <v>Presente</v>
      </c>
      <c r="D13" s="13" t="str">
        <f>Base_SINISA_Esgoto!C13</f>
        <v>Presente</v>
      </c>
      <c r="E13" s="13">
        <f>Base_SINISA_Agua!AC13</f>
        <v>0</v>
      </c>
      <c r="F13" s="13">
        <f>Base_SINISA_Esgoto!Q13</f>
        <v>0</v>
      </c>
      <c r="G13" s="13" t="str">
        <f>Base_Denominadores!H13</f>
        <v>OK</v>
      </c>
      <c r="H13" s="13" t="str">
        <f>Base_Denominadores!I13</f>
        <v>OK</v>
      </c>
      <c r="I13" s="13" t="str">
        <f>Base_Denominadores!J13</f>
        <v>OK</v>
      </c>
      <c r="J13" s="13" t="str">
        <f>Sol_Alternativas!C13</f>
        <v>Sim</v>
      </c>
      <c r="K13" s="13" t="str">
        <f>Base_SINISA_Agua!AD13</f>
        <v>OK</v>
      </c>
      <c r="L13" s="13" t="str">
        <f>Base_SINISA_Agua!AE13</f>
        <v>OK</v>
      </c>
      <c r="M13" s="13" t="str">
        <f>Base_SINISA_Esgoto!R13</f>
        <v>OK</v>
      </c>
      <c r="N13" s="13" t="str">
        <f>Base_SINISA_Esgoto!S13</f>
        <v>OK</v>
      </c>
      <c r="O13" s="13" t="str">
        <f>IF(OR(NOT(ISNUMBER(Resultados!C13)),NOT(ISNUMBER(Resultados!E13))),"n.a.",IF(Resultados!E13&gt;=Resultados!C13,"OK","Alerta de coerência – cobertura &lt; atendimento"))</f>
        <v>OK</v>
      </c>
      <c r="P13" s="13" t="str">
        <f>IF(OR(NOT(ISNUMBER(Resultados!G13)),NOT(ISNUMBER(Resultados!I13))),"n.a.",IF(Resultados!I13&gt;=Resultados!G13,"OK","Alerta de coerência – cobertura &lt; atendimento"))</f>
        <v>OK</v>
      </c>
      <c r="Q13" s="13" t="str">
        <f>IF(SUMPRODUCT((ISNUMBER(Resultados!C13:J13))*(N(Resultados!C13:J13)&gt;1))&gt;0,"Alerta de consistência – acima de 100%","OK")</f>
        <v>OK</v>
      </c>
      <c r="R13" s="13" t="str">
        <f>IF(Base_SINISA_Esgoto!C13="Ausente","n.a.",IF(AND(N(Base_SINISA_Esgoto!K13)&gt;0,N(Base_SINISA_Esgoto!E13)+N(Base_SINISA_Esgoto!F13)=0),"Atenção – ligações ativas sem tratamento","OK"))</f>
        <v>Atenção – ligações ativas sem tratamento</v>
      </c>
      <c r="S13" s="13" t="str">
        <f>Controle_Oficios!G13</f>
        <v>Enviado – sem resposta</v>
      </c>
      <c r="T13" s="13" t="str">
        <f>Resultados!Q13</f>
        <v>Não avaliada – ausência de elementos suficientes para aplicação dos testes de controle</v>
      </c>
    </row>
    <row r="14" spans="1:20" ht="15" customHeight="1" x14ac:dyDescent="0.35">
      <c r="A14" s="12">
        <v>3132701</v>
      </c>
      <c r="B14" s="12" t="s">
        <v>114</v>
      </c>
      <c r="C14" s="13" t="str">
        <f>Base_SINISA_Agua!C14</f>
        <v>Presente</v>
      </c>
      <c r="D14" s="13" t="str">
        <f>Base_SINISA_Esgoto!C14</f>
        <v>Presente</v>
      </c>
      <c r="E14" s="13">
        <f>Base_SINISA_Agua!AC14</f>
        <v>0</v>
      </c>
      <c r="F14" s="13">
        <f>Base_SINISA_Esgoto!Q14</f>
        <v>5</v>
      </c>
      <c r="G14" s="13" t="str">
        <f>Base_Denominadores!H14</f>
        <v>OK</v>
      </c>
      <c r="H14" s="13" t="str">
        <f>Base_Denominadores!I14</f>
        <v>OK</v>
      </c>
      <c r="I14" s="13" t="str">
        <f>Base_Denominadores!J14</f>
        <v>Incoerente – ICA/ICE menor que domicílios residenciais ocupados</v>
      </c>
      <c r="J14" s="13" t="str">
        <f>Sol_Alternativas!C14</f>
        <v>Não</v>
      </c>
      <c r="K14" s="13" t="str">
        <f>Base_SINISA_Agua!AD14</f>
        <v>OK</v>
      </c>
      <c r="L14" s="13" t="str">
        <f>Base_SINISA_Agua!AE14</f>
        <v>OK</v>
      </c>
      <c r="M14" s="13" t="str">
        <f>Base_SINISA_Esgoto!R14</f>
        <v>n.a.</v>
      </c>
      <c r="N14" s="13" t="str">
        <f>Base_SINISA_Esgoto!S14</f>
        <v>n.a.</v>
      </c>
      <c r="O14" s="13" t="str">
        <f>IF(OR(NOT(ISNUMBER(Resultados!C14)),NOT(ISNUMBER(Resultados!E14))),"n.a.",IF(Resultados!E14&gt;=Resultados!C14,"OK","Alerta de coerência – cobertura &lt; atendimento"))</f>
        <v>n.a.</v>
      </c>
      <c r="P14" s="13" t="str">
        <f>IF(OR(NOT(ISNUMBER(Resultados!G14)),NOT(ISNUMBER(Resultados!I14))),"n.a.",IF(Resultados!I14&gt;=Resultados!G14,"OK","Alerta de coerência – cobertura &lt; atendimento"))</f>
        <v>n.a.</v>
      </c>
      <c r="Q14" s="13" t="str">
        <f>IF(SUMPRODUCT((ISNUMBER(Resultados!C14:J14))*(N(Resultados!C14:J14)&gt;1))&gt;0,"Alerta de consistência – acima de 100%","OK")</f>
        <v>OK</v>
      </c>
      <c r="R14" s="13" t="str">
        <f>IF(Base_SINISA_Esgoto!C14="Ausente","n.a.",IF(AND(N(Base_SINISA_Esgoto!K14)&gt;0,N(Base_SINISA_Esgoto!E14)+N(Base_SINISA_Esgoto!F14)=0),"Atenção – ligações ativas sem tratamento","OK"))</f>
        <v>Atenção – ligações ativas sem tratamento</v>
      </c>
      <c r="S14" s="13" t="str">
        <f>Controle_Oficios!G14</f>
        <v>Enviado – sem resposta</v>
      </c>
      <c r="T14" s="13" t="str">
        <f>Resultados!Q14</f>
        <v>Não avaliada – ausência de elementos suficientes para aplicação dos testes de controle</v>
      </c>
    </row>
    <row r="15" spans="1:20" ht="15" customHeight="1" x14ac:dyDescent="0.35">
      <c r="A15" s="12">
        <v>3135076</v>
      </c>
      <c r="B15" s="12" t="s">
        <v>115</v>
      </c>
      <c r="C15" s="13" t="str">
        <f>Base_SINISA_Agua!C15</f>
        <v>Presente</v>
      </c>
      <c r="D15" s="13" t="str">
        <f>Base_SINISA_Esgoto!C15</f>
        <v>Ausente</v>
      </c>
      <c r="E15" s="13">
        <f>Base_SINISA_Agua!AC15</f>
        <v>0</v>
      </c>
      <c r="F15" s="13">
        <f>Base_SINISA_Esgoto!Q15</f>
        <v>6</v>
      </c>
      <c r="G15" s="13" t="str">
        <f>Base_Denominadores!H15</f>
        <v>OK</v>
      </c>
      <c r="H15" s="13" t="str">
        <f>Base_Denominadores!I15</f>
        <v>Denominador ausente</v>
      </c>
      <c r="I15" s="13" t="str">
        <f>Base_Denominadores!J15</f>
        <v>OK</v>
      </c>
      <c r="J15" s="13" t="str">
        <f>Sol_Alternativas!C15</f>
        <v>Não</v>
      </c>
      <c r="K15" s="13" t="str">
        <f>Base_SINISA_Agua!AD15</f>
        <v>OK</v>
      </c>
      <c r="L15" s="13" t="str">
        <f>Base_SINISA_Agua!AE15</f>
        <v>OK</v>
      </c>
      <c r="M15" s="13" t="str">
        <f>Base_SINISA_Esgoto!R15</f>
        <v>n.a.</v>
      </c>
      <c r="N15" s="13" t="str">
        <f>Base_SINISA_Esgoto!S15</f>
        <v>n.a.</v>
      </c>
      <c r="O15" s="13" t="str">
        <f>IF(OR(NOT(ISNUMBER(Resultados!C15)),NOT(ISNUMBER(Resultados!E15))),"n.a.",IF(Resultados!E15&gt;=Resultados!C15,"OK","Alerta de coerência – cobertura &lt; atendimento"))</f>
        <v>n.a.</v>
      </c>
      <c r="P15" s="13" t="str">
        <f>IF(OR(NOT(ISNUMBER(Resultados!G15)),NOT(ISNUMBER(Resultados!I15))),"n.a.",IF(Resultados!I15&gt;=Resultados!G15,"OK","Alerta de coerência – cobertura &lt; atendimento"))</f>
        <v>n.a.</v>
      </c>
      <c r="Q15" s="13" t="str">
        <f>IF(SUMPRODUCT((ISNUMBER(Resultados!C15:J15))*(N(Resultados!C15:J15)&gt;1))&gt;0,"Alerta de consistência – acima de 100%","OK")</f>
        <v>OK</v>
      </c>
      <c r="R15" s="13" t="str">
        <f>IF(Base_SINISA_Esgoto!C15="Ausente","n.a.",IF(AND(N(Base_SINISA_Esgoto!K15)&gt;0,N(Base_SINISA_Esgoto!E15)+N(Base_SINISA_Esgoto!F15)=0),"Atenção – ligações ativas sem tratamento","OK"))</f>
        <v>n.a.</v>
      </c>
      <c r="S15" s="13" t="str">
        <f>Controle_Oficios!G15</f>
        <v>Enviado – sem resposta</v>
      </c>
      <c r="T15" s="13" t="str">
        <f>Resultados!Q15</f>
        <v>Não avaliada – ausência de elementos suficientes para aplicação dos testes de controle</v>
      </c>
    </row>
    <row r="16" spans="1:20" ht="15" customHeight="1" x14ac:dyDescent="0.35">
      <c r="A16" s="12">
        <v>3135407</v>
      </c>
      <c r="B16" s="12" t="s">
        <v>117</v>
      </c>
      <c r="C16" s="13" t="str">
        <f>Base_SINISA_Agua!C16</f>
        <v>Presente</v>
      </c>
      <c r="D16" s="13" t="str">
        <f>Base_SINISA_Esgoto!C16</f>
        <v>Presente</v>
      </c>
      <c r="E16" s="13">
        <f>Base_SINISA_Agua!AC16</f>
        <v>0</v>
      </c>
      <c r="F16" s="13">
        <f>Base_SINISA_Esgoto!Q16</f>
        <v>5</v>
      </c>
      <c r="G16" s="13" t="str">
        <f>Base_Denominadores!H16</f>
        <v>OK</v>
      </c>
      <c r="H16" s="13" t="str">
        <f>Base_Denominadores!I16</f>
        <v>Denominador ausente</v>
      </c>
      <c r="I16" s="13" t="str">
        <f>Base_Denominadores!J16</f>
        <v>OK</v>
      </c>
      <c r="J16" s="13" t="str">
        <f>Sol_Alternativas!C16</f>
        <v>Sim</v>
      </c>
      <c r="K16" s="13" t="str">
        <f>Base_SINISA_Agua!AD16</f>
        <v>OK</v>
      </c>
      <c r="L16" s="13" t="str">
        <f>Base_SINISA_Agua!AE16</f>
        <v>OK</v>
      </c>
      <c r="M16" s="13" t="str">
        <f>Base_SINISA_Esgoto!R16</f>
        <v>n.a.</v>
      </c>
      <c r="N16" s="13" t="str">
        <f>Base_SINISA_Esgoto!S16</f>
        <v>n.a.</v>
      </c>
      <c r="O16" s="13" t="str">
        <f>IF(OR(NOT(ISNUMBER(Resultados!C16)),NOT(ISNUMBER(Resultados!E16))),"n.a.",IF(Resultados!E16&gt;=Resultados!C16,"OK","Alerta de coerência – cobertura &lt; atendimento"))</f>
        <v>n.a.</v>
      </c>
      <c r="P16" s="13" t="str">
        <f>IF(OR(NOT(ISNUMBER(Resultados!G16)),NOT(ISNUMBER(Resultados!I16))),"n.a.",IF(Resultados!I16&gt;=Resultados!G16,"OK","Alerta de coerência – cobertura &lt; atendimento"))</f>
        <v>n.a.</v>
      </c>
      <c r="Q16" s="13" t="str">
        <f>IF(SUMPRODUCT((ISNUMBER(Resultados!C16:J16))*(N(Resultados!C16:J16)&gt;1))&gt;0,"Alerta de consistência – acima de 100%","OK")</f>
        <v>Alerta de consistência – acima de 100%</v>
      </c>
      <c r="R16" s="13" t="str">
        <f>IF(Base_SINISA_Esgoto!C16="Ausente","n.a.",IF(AND(N(Base_SINISA_Esgoto!K16)&gt;0,N(Base_SINISA_Esgoto!E16)+N(Base_SINISA_Esgoto!F16)=0),"Atenção – ligações ativas sem tratamento","OK"))</f>
        <v>Atenção – ligações ativas sem tratamento</v>
      </c>
      <c r="S16" s="13" t="str">
        <f>Controle_Oficios!G16</f>
        <v>Respondeu – parcialmente</v>
      </c>
      <c r="T16" s="13" t="str">
        <f>Resultados!Q16</f>
        <v>Não avaliada – ausência de elementos suficientes para aplicação dos testes de controle</v>
      </c>
    </row>
    <row r="17" spans="1:20" ht="15" customHeight="1" x14ac:dyDescent="0.35">
      <c r="A17" s="12">
        <v>3135506</v>
      </c>
      <c r="B17" s="12" t="s">
        <v>119</v>
      </c>
      <c r="C17" s="13" t="str">
        <f>Base_SINISA_Agua!C17</f>
        <v>Presente</v>
      </c>
      <c r="D17" s="13" t="str">
        <f>Base_SINISA_Esgoto!C17</f>
        <v>Presente</v>
      </c>
      <c r="E17" s="13">
        <f>Base_SINISA_Agua!AC17</f>
        <v>0</v>
      </c>
      <c r="F17" s="13">
        <f>Base_SINISA_Esgoto!Q17</f>
        <v>0</v>
      </c>
      <c r="G17" s="13" t="str">
        <f>Base_Denominadores!H17</f>
        <v>OK</v>
      </c>
      <c r="H17" s="13" t="str">
        <f>Base_Denominadores!I17</f>
        <v>OK</v>
      </c>
      <c r="I17" s="13" t="str">
        <f>Base_Denominadores!J17</f>
        <v>OK</v>
      </c>
      <c r="J17" s="13" t="str">
        <f>Sol_Alternativas!C17</f>
        <v>Sim</v>
      </c>
      <c r="K17" s="13" t="str">
        <f>Base_SINISA_Agua!AD17</f>
        <v>OK</v>
      </c>
      <c r="L17" s="13" t="str">
        <f>Base_SINISA_Agua!AE17</f>
        <v>OK</v>
      </c>
      <c r="M17" s="13" t="str">
        <f>Base_SINISA_Esgoto!R17</f>
        <v>OK</v>
      </c>
      <c r="N17" s="13" t="str">
        <f>Base_SINISA_Esgoto!S17</f>
        <v>OK</v>
      </c>
      <c r="O17" s="13" t="str">
        <f>IF(OR(NOT(ISNUMBER(Resultados!C17)),NOT(ISNUMBER(Resultados!E17))),"n.a.",IF(Resultados!E17&gt;=Resultados!C17,"OK","Alerta de coerência – cobertura &lt; atendimento"))</f>
        <v>Alerta de coerência – cobertura &lt; atendimento</v>
      </c>
      <c r="P17" s="13" t="str">
        <f>IF(OR(NOT(ISNUMBER(Resultados!G17)),NOT(ISNUMBER(Resultados!I17))),"n.a.",IF(Resultados!I17&gt;=Resultados!G17,"OK","Alerta de coerência – cobertura &lt; atendimento"))</f>
        <v>OK</v>
      </c>
      <c r="Q17" s="13" t="str">
        <f>IF(SUMPRODUCT((ISNUMBER(Resultados!C17:J17))*(N(Resultados!C17:J17)&gt;1))&gt;0,"Alerta de consistência – acima de 100%","OK")</f>
        <v>Alerta de consistência – acima de 100%</v>
      </c>
      <c r="R17" s="13" t="str">
        <f>IF(Base_SINISA_Esgoto!C17="Ausente","n.a.",IF(AND(N(Base_SINISA_Esgoto!K17)&gt;0,N(Base_SINISA_Esgoto!E17)+N(Base_SINISA_Esgoto!F17)=0),"Atenção – ligações ativas sem tratamento","OK"))</f>
        <v>Atenção – ligações ativas sem tratamento</v>
      </c>
      <c r="S17" s="13" t="str">
        <f>Controle_Oficios!G17</f>
        <v>Enviado – sem resposta</v>
      </c>
      <c r="T17" s="13" t="str">
        <f>Resultados!Q17</f>
        <v>Não avaliada – ausência de elementos suficientes para aplicação dos testes de controle</v>
      </c>
    </row>
    <row r="18" spans="1:20" ht="15" customHeight="1" x14ac:dyDescent="0.35">
      <c r="A18" s="12">
        <v>3137700</v>
      </c>
      <c r="B18" s="12" t="s">
        <v>121</v>
      </c>
      <c r="C18" s="13" t="str">
        <f>Base_SINISA_Agua!C18</f>
        <v>Presente</v>
      </c>
      <c r="D18" s="13" t="str">
        <f>Base_SINISA_Esgoto!C18</f>
        <v>Presente</v>
      </c>
      <c r="E18" s="13">
        <f>Base_SINISA_Agua!AC18</f>
        <v>1</v>
      </c>
      <c r="F18" s="13">
        <f>Base_SINISA_Esgoto!Q18</f>
        <v>2</v>
      </c>
      <c r="G18" s="13" t="str">
        <f>Base_Denominadores!H18</f>
        <v>Denominador ausente</v>
      </c>
      <c r="H18" s="13" t="str">
        <f>Base_Denominadores!I18</f>
        <v>Denominador ausente</v>
      </c>
      <c r="I18" s="13" t="str">
        <f>Base_Denominadores!J18</f>
        <v>OK</v>
      </c>
      <c r="J18" s="13" t="str">
        <f>Sol_Alternativas!C18</f>
        <v>Sim</v>
      </c>
      <c r="K18" s="13" t="str">
        <f>Base_SINISA_Agua!AD18</f>
        <v>OK</v>
      </c>
      <c r="L18" s="13" t="str">
        <f>Base_SINISA_Agua!AE18</f>
        <v>OK</v>
      </c>
      <c r="M18" s="13" t="str">
        <f>Base_SINISA_Esgoto!R18</f>
        <v>OK</v>
      </c>
      <c r="N18" s="13" t="str">
        <f>Base_SINISA_Esgoto!S18</f>
        <v>n.a.</v>
      </c>
      <c r="O18" s="13" t="str">
        <f>IF(OR(NOT(ISNUMBER(Resultados!C18)),NOT(ISNUMBER(Resultados!E18))),"n.a.",IF(Resultados!E18&gt;=Resultados!C18,"OK","Alerta de coerência – cobertura &lt; atendimento"))</f>
        <v>n.a.</v>
      </c>
      <c r="P18" s="13" t="str">
        <f>IF(OR(NOT(ISNUMBER(Resultados!G18)),NOT(ISNUMBER(Resultados!I18))),"n.a.",IF(Resultados!I18&gt;=Resultados!G18,"OK","Alerta de coerência – cobertura &lt; atendimento"))</f>
        <v>n.a.</v>
      </c>
      <c r="Q18" s="13" t="str">
        <f>IF(SUMPRODUCT((ISNUMBER(Resultados!C18:J18))*(N(Resultados!C18:J18)&gt;1))&gt;0,"Alerta de consistência – acima de 100%","OK")</f>
        <v>OK</v>
      </c>
      <c r="R18" s="13" t="str">
        <f>IF(Base_SINISA_Esgoto!C18="Ausente","n.a.",IF(AND(N(Base_SINISA_Esgoto!K18)&gt;0,N(Base_SINISA_Esgoto!E18)+N(Base_SINISA_Esgoto!F18)=0),"Atenção – ligações ativas sem tratamento","OK"))</f>
        <v>Atenção – ligações ativas sem tratamento</v>
      </c>
      <c r="S18" s="13" t="str">
        <f>Controle_Oficios!G18</f>
        <v>Enviado – sem resposta</v>
      </c>
      <c r="T18" s="13" t="str">
        <f>Resultados!Q18</f>
        <v>Não avaliada – ausência de elementos suficientes para aplicação dos testes de controle</v>
      </c>
    </row>
    <row r="19" spans="1:20" ht="15" customHeight="1" x14ac:dyDescent="0.35">
      <c r="A19" s="12">
        <v>3138609</v>
      </c>
      <c r="B19" s="12" t="s">
        <v>122</v>
      </c>
      <c r="C19" s="13" t="str">
        <f>Base_SINISA_Agua!C19</f>
        <v>Presente</v>
      </c>
      <c r="D19" s="13" t="str">
        <f>Base_SINISA_Esgoto!C19</f>
        <v>Presente</v>
      </c>
      <c r="E19" s="13">
        <f>Base_SINISA_Agua!AC19</f>
        <v>0</v>
      </c>
      <c r="F19" s="13">
        <f>Base_SINISA_Esgoto!Q19</f>
        <v>5</v>
      </c>
      <c r="G19" s="13" t="str">
        <f>Base_Denominadores!H19</f>
        <v>OK</v>
      </c>
      <c r="H19" s="13" t="str">
        <f>Base_Denominadores!I19</f>
        <v>Denominador ausente</v>
      </c>
      <c r="I19" s="13" t="str">
        <f>Base_Denominadores!J19</f>
        <v>OK</v>
      </c>
      <c r="J19" s="13" t="str">
        <f>Sol_Alternativas!C19</f>
        <v>Sim</v>
      </c>
      <c r="K19" s="13" t="str">
        <f>Base_SINISA_Agua!AD19</f>
        <v>OK</v>
      </c>
      <c r="L19" s="13" t="str">
        <f>Base_SINISA_Agua!AE19</f>
        <v>OK</v>
      </c>
      <c r="M19" s="13" t="str">
        <f>Base_SINISA_Esgoto!R19</f>
        <v>n.a.</v>
      </c>
      <c r="N19" s="13" t="str">
        <f>Base_SINISA_Esgoto!S19</f>
        <v>n.a.</v>
      </c>
      <c r="O19" s="13" t="str">
        <f>IF(OR(NOT(ISNUMBER(Resultados!C19)),NOT(ISNUMBER(Resultados!E19))),"n.a.",IF(Resultados!E19&gt;=Resultados!C19,"OK","Alerta de coerência – cobertura &lt; atendimento"))</f>
        <v>n.a.</v>
      </c>
      <c r="P19" s="13" t="str">
        <f>IF(OR(NOT(ISNUMBER(Resultados!G19)),NOT(ISNUMBER(Resultados!I19))),"n.a.",IF(Resultados!I19&gt;=Resultados!G19,"OK","Alerta de coerência – cobertura &lt; atendimento"))</f>
        <v>n.a.</v>
      </c>
      <c r="Q19" s="13" t="str">
        <f>IF(SUMPRODUCT((ISNUMBER(Resultados!C19:J19))*(N(Resultados!C19:J19)&gt;1))&gt;0,"Alerta de consistência – acima de 100%","OK")</f>
        <v>OK</v>
      </c>
      <c r="R19" s="13" t="str">
        <f>IF(Base_SINISA_Esgoto!C19="Ausente","n.a.",IF(AND(N(Base_SINISA_Esgoto!K19)&gt;0,N(Base_SINISA_Esgoto!E19)+N(Base_SINISA_Esgoto!F19)=0),"Atenção – ligações ativas sem tratamento","OK"))</f>
        <v>Atenção – ligações ativas sem tratamento</v>
      </c>
      <c r="S19" s="13" t="str">
        <f>Controle_Oficios!G19</f>
        <v>Respondeu – parcialmente</v>
      </c>
      <c r="T19" s="13" t="str">
        <f>Resultados!Q19</f>
        <v>Não avaliada – ausência de elementos suficientes para aplicação dos testes de controle</v>
      </c>
    </row>
    <row r="20" spans="1:20" ht="15" customHeight="1" x14ac:dyDescent="0.35">
      <c r="A20" s="12">
        <v>3139409</v>
      </c>
      <c r="B20" s="12" t="s">
        <v>123</v>
      </c>
      <c r="C20" s="13" t="str">
        <f>Base_SINISA_Agua!C20</f>
        <v>Presente</v>
      </c>
      <c r="D20" s="13" t="str">
        <f>Base_SINISA_Esgoto!C20</f>
        <v>Presente</v>
      </c>
      <c r="E20" s="13">
        <f>Base_SINISA_Agua!AC20</f>
        <v>1</v>
      </c>
      <c r="F20" s="13">
        <f>Base_SINISA_Esgoto!Q20</f>
        <v>1</v>
      </c>
      <c r="G20" s="13" t="str">
        <f>Base_Denominadores!H20</f>
        <v>OK</v>
      </c>
      <c r="H20" s="13" t="str">
        <f>Base_Denominadores!I20</f>
        <v>Denominador ausente</v>
      </c>
      <c r="I20" s="13" t="str">
        <f>Base_Denominadores!J20</f>
        <v>OK</v>
      </c>
      <c r="J20" s="13" t="str">
        <f>Sol_Alternativas!C20</f>
        <v>Não</v>
      </c>
      <c r="K20" s="13" t="str">
        <f>Base_SINISA_Agua!AD20</f>
        <v>OK</v>
      </c>
      <c r="L20" s="13" t="str">
        <f>Base_SINISA_Agua!AE20</f>
        <v>OK</v>
      </c>
      <c r="M20" s="13" t="str">
        <f>Base_SINISA_Esgoto!R20</f>
        <v>n.a.</v>
      </c>
      <c r="N20" s="13" t="str">
        <f>Base_SINISA_Esgoto!S20</f>
        <v>OK</v>
      </c>
      <c r="O20" s="13" t="str">
        <f>IF(OR(NOT(ISNUMBER(Resultados!C20)),NOT(ISNUMBER(Resultados!E20))),"n.a.",IF(Resultados!E20&gt;=Resultados!C20,"OK","Alerta de coerência – cobertura &lt; atendimento"))</f>
        <v>n.a.</v>
      </c>
      <c r="P20" s="13" t="str">
        <f>IF(OR(NOT(ISNUMBER(Resultados!G20)),NOT(ISNUMBER(Resultados!I20))),"n.a.",IF(Resultados!I20&gt;=Resultados!G20,"OK","Alerta de coerência – cobertura &lt; atendimento"))</f>
        <v>n.a.</v>
      </c>
      <c r="Q20" s="13" t="str">
        <f>IF(SUMPRODUCT((ISNUMBER(Resultados!C20:J20))*(N(Resultados!C20:J20)&gt;1))&gt;0,"Alerta de consistência – acima de 100%","OK")</f>
        <v>OK</v>
      </c>
      <c r="R20" s="13" t="str">
        <f>IF(Base_SINISA_Esgoto!C20="Ausente","n.a.",IF(AND(N(Base_SINISA_Esgoto!K20)&gt;0,N(Base_SINISA_Esgoto!E20)+N(Base_SINISA_Esgoto!F20)=0),"Atenção – ligações ativas sem tratamento","OK"))</f>
        <v>OK</v>
      </c>
      <c r="S20" s="13" t="str">
        <f>Controle_Oficios!G20</f>
        <v>Enviado – sem resposta</v>
      </c>
      <c r="T20" s="13" t="str">
        <f>Resultados!Q20</f>
        <v>Não avaliada – ausência de elementos suficientes para aplicação dos testes de controle</v>
      </c>
    </row>
    <row r="21" spans="1:20" ht="15" customHeight="1" x14ac:dyDescent="0.35">
      <c r="A21" s="12">
        <v>3139508</v>
      </c>
      <c r="B21" s="12" t="s">
        <v>125</v>
      </c>
      <c r="C21" s="13" t="str">
        <f>Base_SINISA_Agua!C21</f>
        <v>Presente</v>
      </c>
      <c r="D21" s="13" t="str">
        <f>Base_SINISA_Esgoto!C21</f>
        <v>Presente</v>
      </c>
      <c r="E21" s="13">
        <f>Base_SINISA_Agua!AC21</f>
        <v>2</v>
      </c>
      <c r="F21" s="13">
        <f>Base_SINISA_Esgoto!Q21</f>
        <v>3</v>
      </c>
      <c r="G21" s="13" t="str">
        <f>Base_Denominadores!H21</f>
        <v>OK</v>
      </c>
      <c r="H21" s="13" t="str">
        <f>Base_Denominadores!I21</f>
        <v>Denominador ausente</v>
      </c>
      <c r="I21" s="13" t="str">
        <f>Base_Denominadores!J21</f>
        <v>OK</v>
      </c>
      <c r="J21" s="13" t="str">
        <f>Sol_Alternativas!C21</f>
        <v>Sim</v>
      </c>
      <c r="K21" s="13" t="str">
        <f>Base_SINISA_Agua!AD21</f>
        <v>OK</v>
      </c>
      <c r="L21" s="13" t="str">
        <f>Base_SINISA_Agua!AE21</f>
        <v>OK</v>
      </c>
      <c r="M21" s="13" t="str">
        <f>Base_SINISA_Esgoto!R21</f>
        <v>n.a.</v>
      </c>
      <c r="N21" s="13" t="str">
        <f>Base_SINISA_Esgoto!S21</f>
        <v>n.a.</v>
      </c>
      <c r="O21" s="13" t="str">
        <f>IF(OR(NOT(ISNUMBER(Resultados!C21)),NOT(ISNUMBER(Resultados!E21))),"n.a.",IF(Resultados!E21&gt;=Resultados!C21,"OK","Alerta de coerência – cobertura &lt; atendimento"))</f>
        <v>n.a.</v>
      </c>
      <c r="P21" s="13" t="str">
        <f>IF(OR(NOT(ISNUMBER(Resultados!G21)),NOT(ISNUMBER(Resultados!I21))),"n.a.",IF(Resultados!I21&gt;=Resultados!G21,"OK","Alerta de coerência – cobertura &lt; atendimento"))</f>
        <v>n.a.</v>
      </c>
      <c r="Q21" s="13" t="str">
        <f>IF(SUMPRODUCT((ISNUMBER(Resultados!C21:J21))*(N(Resultados!C21:J21)&gt;1))&gt;0,"Alerta de consistência – acima de 100%","OK")</f>
        <v>OK</v>
      </c>
      <c r="R21" s="13" t="str">
        <f>IF(Base_SINISA_Esgoto!C21="Ausente","n.a.",IF(AND(N(Base_SINISA_Esgoto!K21)&gt;0,N(Base_SINISA_Esgoto!E21)+N(Base_SINISA_Esgoto!F21)=0),"Atenção – ligações ativas sem tratamento","OK"))</f>
        <v>OK</v>
      </c>
      <c r="S21" s="13" t="str">
        <f>Controle_Oficios!G21</f>
        <v>Enviado – sem resposta</v>
      </c>
      <c r="T21" s="13" t="str">
        <f>Resultados!Q21</f>
        <v>Não avaliada – ausência de elementos suficientes para aplicação dos testes de controle</v>
      </c>
    </row>
    <row r="22" spans="1:20" ht="15" customHeight="1" x14ac:dyDescent="0.35">
      <c r="A22" s="12">
        <v>3139607</v>
      </c>
      <c r="B22" s="12" t="s">
        <v>126</v>
      </c>
      <c r="C22" s="13" t="str">
        <f>Base_SINISA_Agua!C22</f>
        <v>Presente</v>
      </c>
      <c r="D22" s="13" t="str">
        <f>Base_SINISA_Esgoto!C22</f>
        <v>Presente</v>
      </c>
      <c r="E22" s="13">
        <f>Base_SINISA_Agua!AC22</f>
        <v>0</v>
      </c>
      <c r="F22" s="13">
        <f>Base_SINISA_Esgoto!Q22</f>
        <v>0</v>
      </c>
      <c r="G22" s="13" t="str">
        <f>Base_Denominadores!H22</f>
        <v>OK</v>
      </c>
      <c r="H22" s="13" t="str">
        <f>Base_Denominadores!I22</f>
        <v>OK</v>
      </c>
      <c r="I22" s="13" t="str">
        <f>Base_Denominadores!J22</f>
        <v>OK</v>
      </c>
      <c r="J22" s="13" t="str">
        <f>Sol_Alternativas!C22</f>
        <v>Sim</v>
      </c>
      <c r="K22" s="13" t="str">
        <f>Base_SINISA_Agua!AD22</f>
        <v>OK</v>
      </c>
      <c r="L22" s="13" t="str">
        <f>Base_SINISA_Agua!AE22</f>
        <v>OK</v>
      </c>
      <c r="M22" s="13" t="str">
        <f>Base_SINISA_Esgoto!R22</f>
        <v>OK</v>
      </c>
      <c r="N22" s="13" t="str">
        <f>Base_SINISA_Esgoto!S22</f>
        <v>OK</v>
      </c>
      <c r="O22" s="13" t="str">
        <f>IF(OR(NOT(ISNUMBER(Resultados!C22)),NOT(ISNUMBER(Resultados!E22))),"n.a.",IF(Resultados!E22&gt;=Resultados!C22,"OK","Alerta de coerência – cobertura &lt; atendimento"))</f>
        <v>OK</v>
      </c>
      <c r="P22" s="13" t="str">
        <f>IF(OR(NOT(ISNUMBER(Resultados!G22)),NOT(ISNUMBER(Resultados!I22))),"n.a.",IF(Resultados!I22&gt;=Resultados!G22,"OK","Alerta de coerência – cobertura &lt; atendimento"))</f>
        <v>OK</v>
      </c>
      <c r="Q22" s="13" t="str">
        <f>IF(SUMPRODUCT((ISNUMBER(Resultados!C22:J22))*(N(Resultados!C22:J22)&gt;1))&gt;0,"Alerta de consistência – acima de 100%","OK")</f>
        <v>OK</v>
      </c>
      <c r="R22" s="13" t="str">
        <f>IF(Base_SINISA_Esgoto!C22="Ausente","n.a.",IF(AND(N(Base_SINISA_Esgoto!K22)&gt;0,N(Base_SINISA_Esgoto!E22)+N(Base_SINISA_Esgoto!F22)=0),"Atenção – ligações ativas sem tratamento","OK"))</f>
        <v>OK</v>
      </c>
      <c r="S22" s="13" t="str">
        <f>Controle_Oficios!G22</f>
        <v>Enviado – sem resposta</v>
      </c>
      <c r="T22" s="13" t="str">
        <f>Resultados!Q22</f>
        <v>Não avaliada – ausência de elementos suficientes para aplicação dos testes de controle</v>
      </c>
    </row>
    <row r="23" spans="1:20" ht="15" customHeight="1" x14ac:dyDescent="0.35">
      <c r="A23" s="12">
        <v>3140001</v>
      </c>
      <c r="B23" s="12" t="s">
        <v>127</v>
      </c>
      <c r="C23" s="13" t="str">
        <f>Base_SINISA_Agua!C23</f>
        <v>Presente</v>
      </c>
      <c r="D23" s="13" t="str">
        <f>Base_SINISA_Esgoto!C23</f>
        <v>Presente</v>
      </c>
      <c r="E23" s="13">
        <f>Base_SINISA_Agua!AC23</f>
        <v>0</v>
      </c>
      <c r="F23" s="13">
        <f>Base_SINISA_Esgoto!Q23</f>
        <v>0</v>
      </c>
      <c r="G23" s="13" t="str">
        <f>Base_Denominadores!H23</f>
        <v>OK</v>
      </c>
      <c r="H23" s="13" t="str">
        <f>Base_Denominadores!I23</f>
        <v>OK</v>
      </c>
      <c r="I23" s="13" t="str">
        <f>Base_Denominadores!J23</f>
        <v>OK</v>
      </c>
      <c r="J23" s="13" t="str">
        <f>Sol_Alternativas!C23</f>
        <v>Sim</v>
      </c>
      <c r="K23" s="13" t="str">
        <f>Base_SINISA_Agua!AD23</f>
        <v>OK</v>
      </c>
      <c r="L23" s="13" t="str">
        <f>Base_SINISA_Agua!AE23</f>
        <v>OK</v>
      </c>
      <c r="M23" s="13" t="str">
        <f>Base_SINISA_Esgoto!R23</f>
        <v>OK</v>
      </c>
      <c r="N23" s="13" t="str">
        <f>Base_SINISA_Esgoto!S23</f>
        <v>OK</v>
      </c>
      <c r="O23" s="13" t="str">
        <f>IF(OR(NOT(ISNUMBER(Resultados!C23)),NOT(ISNUMBER(Resultados!E23))),"n.a.",IF(Resultados!E23&gt;=Resultados!C23,"OK","Alerta de coerência – cobertura &lt; atendimento"))</f>
        <v>Alerta de coerência – cobertura &lt; atendimento</v>
      </c>
      <c r="P23" s="13" t="str">
        <f>IF(OR(NOT(ISNUMBER(Resultados!G23)),NOT(ISNUMBER(Resultados!I23))),"n.a.",IF(Resultados!I23&gt;=Resultados!G23,"OK","Alerta de coerência – cobertura &lt; atendimento"))</f>
        <v>OK</v>
      </c>
      <c r="Q23" s="13" t="str">
        <f>IF(SUMPRODUCT((ISNUMBER(Resultados!C23:J23))*(N(Resultados!C23:J23)&gt;1))&gt;0,"Alerta de consistência – acima de 100%","OK")</f>
        <v>OK</v>
      </c>
      <c r="R23" s="13" t="str">
        <f>IF(Base_SINISA_Esgoto!C23="Ausente","n.a.",IF(AND(N(Base_SINISA_Esgoto!K23)&gt;0,N(Base_SINISA_Esgoto!E23)+N(Base_SINISA_Esgoto!F23)=0),"Atenção – ligações ativas sem tratamento","OK"))</f>
        <v>Atenção – ligações ativas sem tratamento</v>
      </c>
      <c r="S23" s="13" t="str">
        <f>Controle_Oficios!G23</f>
        <v>Enviado – sem resposta</v>
      </c>
      <c r="T23" s="13" t="str">
        <f>Resultados!Q23</f>
        <v>Não avaliada – ausência de elementos suficientes para aplicação dos testes de controle</v>
      </c>
    </row>
    <row r="24" spans="1:20" ht="15" customHeight="1" x14ac:dyDescent="0.35">
      <c r="A24" s="12">
        <v>3143906</v>
      </c>
      <c r="B24" s="12" t="s">
        <v>129</v>
      </c>
      <c r="C24" s="13" t="str">
        <f>Base_SINISA_Agua!C24</f>
        <v>Presente</v>
      </c>
      <c r="D24" s="13" t="str">
        <f>Base_SINISA_Esgoto!C24</f>
        <v>Presente</v>
      </c>
      <c r="E24" s="13">
        <f>Base_SINISA_Agua!AC24</f>
        <v>0</v>
      </c>
      <c r="F24" s="13">
        <f>Base_SINISA_Esgoto!Q24</f>
        <v>2</v>
      </c>
      <c r="G24" s="13" t="str">
        <f>Base_Denominadores!H24</f>
        <v>OK</v>
      </c>
      <c r="H24" s="13" t="str">
        <f>Base_Denominadores!I24</f>
        <v>OK</v>
      </c>
      <c r="I24" s="13" t="str">
        <f>Base_Denominadores!J24</f>
        <v>OK</v>
      </c>
      <c r="J24" s="13" t="str">
        <f>Sol_Alternativas!C24</f>
        <v>Sim</v>
      </c>
      <c r="K24" s="13" t="str">
        <f>Base_SINISA_Agua!AD24</f>
        <v>OK</v>
      </c>
      <c r="L24" s="13" t="str">
        <f>Base_SINISA_Agua!AE24</f>
        <v>OK</v>
      </c>
      <c r="M24" s="13" t="str">
        <f>Base_SINISA_Esgoto!R24</f>
        <v>Inconsistente – residencial&gt;total</v>
      </c>
      <c r="N24" s="13" t="str">
        <f>Base_SINISA_Esgoto!S24</f>
        <v>OK</v>
      </c>
      <c r="O24" s="13" t="str">
        <f>IF(OR(NOT(ISNUMBER(Resultados!C24)),NOT(ISNUMBER(Resultados!E24))),"n.a.",IF(Resultados!E24&gt;=Resultados!C24,"OK","Alerta de coerência – cobertura &lt; atendimento"))</f>
        <v>OK</v>
      </c>
      <c r="P24" s="13" t="str">
        <f>IF(OR(NOT(ISNUMBER(Resultados!G24)),NOT(ISNUMBER(Resultados!I24))),"n.a.",IF(Resultados!I24&gt;=Resultados!G24,"OK","Alerta de coerência – cobertura &lt; atendimento"))</f>
        <v>Alerta de coerência – cobertura &lt; atendimento</v>
      </c>
      <c r="Q24" s="13" t="str">
        <f>IF(SUMPRODUCT((ISNUMBER(Resultados!C24:J24))*(N(Resultados!C24:J24)&gt;1))&gt;0,"Alerta de consistência – acima de 100%","OK")</f>
        <v>OK</v>
      </c>
      <c r="R24" s="13" t="str">
        <f>IF(Base_SINISA_Esgoto!C24="Ausente","n.a.",IF(AND(N(Base_SINISA_Esgoto!K24)&gt;0,N(Base_SINISA_Esgoto!E24)+N(Base_SINISA_Esgoto!F24)=0),"Atenção – ligações ativas sem tratamento","OK"))</f>
        <v>OK</v>
      </c>
      <c r="S24" s="13" t="str">
        <f>Controle_Oficios!G24</f>
        <v>Respondeu – parcialmente</v>
      </c>
      <c r="T24" s="13" t="str">
        <f>Resultados!Q24</f>
        <v>Não avaliada – ausência de elementos suficientes para aplicação dos testes de controle</v>
      </c>
    </row>
    <row r="25" spans="1:20" ht="15" customHeight="1" x14ac:dyDescent="0.35">
      <c r="A25" s="12">
        <v>3145851</v>
      </c>
      <c r="B25" s="12" t="s">
        <v>131</v>
      </c>
      <c r="C25" s="13" t="str">
        <f>Base_SINISA_Agua!C25</f>
        <v>Ausente</v>
      </c>
      <c r="D25" s="13" t="str">
        <f>Base_SINISA_Esgoto!C25</f>
        <v>Presente</v>
      </c>
      <c r="E25" s="13">
        <f>Base_SINISA_Agua!AC25</f>
        <v>6</v>
      </c>
      <c r="F25" s="13">
        <f>Base_SINISA_Esgoto!Q25</f>
        <v>5</v>
      </c>
      <c r="G25" s="13" t="str">
        <f>Base_Denominadores!H25</f>
        <v>OK</v>
      </c>
      <c r="H25" s="13" t="str">
        <f>Base_Denominadores!I25</f>
        <v>Denominador ausente</v>
      </c>
      <c r="I25" s="13" t="str">
        <f>Base_Denominadores!J25</f>
        <v>OK</v>
      </c>
      <c r="J25" s="13" t="str">
        <f>Sol_Alternativas!C25</f>
        <v>Sim</v>
      </c>
      <c r="K25" s="13" t="str">
        <f>Base_SINISA_Agua!AD25</f>
        <v>n.a.</v>
      </c>
      <c r="L25" s="13" t="str">
        <f>Base_SINISA_Agua!AE25</f>
        <v>n.a.</v>
      </c>
      <c r="M25" s="13" t="str">
        <f>Base_SINISA_Esgoto!R25</f>
        <v>n.a.</v>
      </c>
      <c r="N25" s="13" t="str">
        <f>Base_SINISA_Esgoto!S25</f>
        <v>n.a.</v>
      </c>
      <c r="O25" s="13" t="str">
        <f>IF(OR(NOT(ISNUMBER(Resultados!C25)),NOT(ISNUMBER(Resultados!E25))),"n.a.",IF(Resultados!E25&gt;=Resultados!C25,"OK","Alerta de coerência – cobertura &lt; atendimento"))</f>
        <v>n.a.</v>
      </c>
      <c r="P25" s="13" t="str">
        <f>IF(OR(NOT(ISNUMBER(Resultados!G25)),NOT(ISNUMBER(Resultados!I25))),"n.a.",IF(Resultados!I25&gt;=Resultados!G25,"OK","Alerta de coerência – cobertura &lt; atendimento"))</f>
        <v>n.a.</v>
      </c>
      <c r="Q25" s="13" t="str">
        <f>IF(SUMPRODUCT((ISNUMBER(Resultados!C25:J25))*(N(Resultados!C25:J25)&gt;1))&gt;0,"Alerta de consistência – acima de 100%","OK")</f>
        <v>OK</v>
      </c>
      <c r="R25" s="13" t="str">
        <f>IF(Base_SINISA_Esgoto!C25="Ausente","n.a.",IF(AND(N(Base_SINISA_Esgoto!K25)&gt;0,N(Base_SINISA_Esgoto!E25)+N(Base_SINISA_Esgoto!F25)=0),"Atenção – ligações ativas sem tratamento","OK"))</f>
        <v>Atenção – ligações ativas sem tratamento</v>
      </c>
      <c r="S25" s="13" t="str">
        <f>Controle_Oficios!G25</f>
        <v>Enviado – sem resposta</v>
      </c>
      <c r="T25" s="13" t="str">
        <f>Resultados!Q25</f>
        <v>Não avaliada – ausência de elementos suficientes para aplicação dos testes de controle</v>
      </c>
    </row>
    <row r="26" spans="1:20" ht="15" customHeight="1" x14ac:dyDescent="0.35">
      <c r="A26" s="12">
        <v>3150604</v>
      </c>
      <c r="B26" s="12" t="s">
        <v>132</v>
      </c>
      <c r="C26" s="13" t="str">
        <f>Base_SINISA_Agua!C26</f>
        <v>Presente</v>
      </c>
      <c r="D26" s="13" t="str">
        <f>Base_SINISA_Esgoto!C26</f>
        <v>Presente</v>
      </c>
      <c r="E26" s="13">
        <f>Base_SINISA_Agua!AC26</f>
        <v>1</v>
      </c>
      <c r="F26" s="13">
        <f>Base_SINISA_Esgoto!Q26</f>
        <v>5</v>
      </c>
      <c r="G26" s="13" t="str">
        <f>Base_Denominadores!H26</f>
        <v>OK</v>
      </c>
      <c r="H26" s="13" t="str">
        <f>Base_Denominadores!I26</f>
        <v>Denominador ausente</v>
      </c>
      <c r="I26" s="13" t="str">
        <f>Base_Denominadores!J26</f>
        <v>OK</v>
      </c>
      <c r="J26" s="13" t="str">
        <f>Sol_Alternativas!C26</f>
        <v>Sim</v>
      </c>
      <c r="K26" s="13" t="str">
        <f>Base_SINISA_Agua!AD26</f>
        <v>OK</v>
      </c>
      <c r="L26" s="13" t="str">
        <f>Base_SINISA_Agua!AE26</f>
        <v>OK</v>
      </c>
      <c r="M26" s="13" t="str">
        <f>Base_SINISA_Esgoto!R26</f>
        <v>n.a.</v>
      </c>
      <c r="N26" s="13" t="str">
        <f>Base_SINISA_Esgoto!S26</f>
        <v>n.a.</v>
      </c>
      <c r="O26" s="13" t="str">
        <f>IF(OR(NOT(ISNUMBER(Resultados!C26)),NOT(ISNUMBER(Resultados!E26))),"n.a.",IF(Resultados!E26&gt;=Resultados!C26,"OK","Alerta de coerência – cobertura &lt; atendimento"))</f>
        <v>n.a.</v>
      </c>
      <c r="P26" s="13" t="str">
        <f>IF(OR(NOT(ISNUMBER(Resultados!G26)),NOT(ISNUMBER(Resultados!I26))),"n.a.",IF(Resultados!I26&gt;=Resultados!G26,"OK","Alerta de coerência – cobertura &lt; atendimento"))</f>
        <v>n.a.</v>
      </c>
      <c r="Q26" s="13" t="str">
        <f>IF(SUMPRODUCT((ISNUMBER(Resultados!C26:J26))*(N(Resultados!C26:J26)&gt;1))&gt;0,"Alerta de consistência – acima de 100%","OK")</f>
        <v>OK</v>
      </c>
      <c r="R26" s="13" t="str">
        <f>IF(Base_SINISA_Esgoto!C26="Ausente","n.a.",IF(AND(N(Base_SINISA_Esgoto!K26)&gt;0,N(Base_SINISA_Esgoto!E26)+N(Base_SINISA_Esgoto!F26)=0),"Atenção – ligações ativas sem tratamento","OK"))</f>
        <v>Atenção – ligações ativas sem tratamento</v>
      </c>
      <c r="S26" s="13" t="str">
        <f>Controle_Oficios!G26</f>
        <v>Enviado – sem resposta</v>
      </c>
      <c r="T26" s="13" t="str">
        <f>Resultados!Q26</f>
        <v>Não avaliada – ausência de elementos suficientes para aplicação dos testes de controle</v>
      </c>
    </row>
    <row r="27" spans="1:20" ht="15" customHeight="1" x14ac:dyDescent="0.35">
      <c r="A27" s="12">
        <v>3151909</v>
      </c>
      <c r="B27" s="12" t="s">
        <v>134</v>
      </c>
      <c r="C27" s="13" t="str">
        <f>Base_SINISA_Agua!C27</f>
        <v>Presente</v>
      </c>
      <c r="D27" s="13" t="str">
        <f>Base_SINISA_Esgoto!C27</f>
        <v>Presente</v>
      </c>
      <c r="E27" s="13">
        <f>Base_SINISA_Agua!AC27</f>
        <v>1</v>
      </c>
      <c r="F27" s="13">
        <f>Base_SINISA_Esgoto!Q27</f>
        <v>5</v>
      </c>
      <c r="G27" s="13" t="str">
        <f>Base_Denominadores!H27</f>
        <v>OK</v>
      </c>
      <c r="H27" s="13" t="str">
        <f>Base_Denominadores!I27</f>
        <v>OK</v>
      </c>
      <c r="I27" s="13" t="str">
        <f>Base_Denominadores!J27</f>
        <v>Incoerente – ICA/ICE menor que domicílios residenciais ocupados</v>
      </c>
      <c r="J27" s="13" t="str">
        <f>Sol_Alternativas!C27</f>
        <v>Sim</v>
      </c>
      <c r="K27" s="13" t="str">
        <f>Base_SINISA_Agua!AD27</f>
        <v>OK</v>
      </c>
      <c r="L27" s="13" t="str">
        <f>Base_SINISA_Agua!AE27</f>
        <v>OK</v>
      </c>
      <c r="M27" s="13" t="str">
        <f>Base_SINISA_Esgoto!R27</f>
        <v>n.a.</v>
      </c>
      <c r="N27" s="13" t="str">
        <f>Base_SINISA_Esgoto!S27</f>
        <v>n.a.</v>
      </c>
      <c r="O27" s="13" t="str">
        <f>IF(OR(NOT(ISNUMBER(Resultados!C27)),NOT(ISNUMBER(Resultados!E27))),"n.a.",IF(Resultados!E27&gt;=Resultados!C27,"OK","Alerta de coerência – cobertura &lt; atendimento"))</f>
        <v>n.a.</v>
      </c>
      <c r="P27" s="13" t="str">
        <f>IF(OR(NOT(ISNUMBER(Resultados!G27)),NOT(ISNUMBER(Resultados!I27))),"n.a.",IF(Resultados!I27&gt;=Resultados!G27,"OK","Alerta de coerência – cobertura &lt; atendimento"))</f>
        <v>n.a.</v>
      </c>
      <c r="Q27" s="13" t="str">
        <f>IF(SUMPRODUCT((ISNUMBER(Resultados!C27:J27))*(N(Resultados!C27:J27)&gt;1))&gt;0,"Alerta de consistência – acima de 100%","OK")</f>
        <v>OK</v>
      </c>
      <c r="R27" s="13" t="str">
        <f>IF(Base_SINISA_Esgoto!C27="Ausente","n.a.",IF(AND(N(Base_SINISA_Esgoto!K27)&gt;0,N(Base_SINISA_Esgoto!E27)+N(Base_SINISA_Esgoto!F27)=0),"Atenção – ligações ativas sem tratamento","OK"))</f>
        <v>OK</v>
      </c>
      <c r="S27" s="13" t="str">
        <f>Controle_Oficios!G27</f>
        <v>Enviado – sem resposta</v>
      </c>
      <c r="T27" s="13" t="str">
        <f>Resultados!Q27</f>
        <v>Não avaliada – ausência de elementos suficientes para aplicação dos testes de controle</v>
      </c>
    </row>
    <row r="28" spans="1:20" ht="15" customHeight="1" x14ac:dyDescent="0.35">
      <c r="A28" s="12">
        <v>3152105</v>
      </c>
      <c r="B28" s="12" t="s">
        <v>135</v>
      </c>
      <c r="C28" s="13" t="str">
        <f>Base_SINISA_Agua!C28</f>
        <v>Presente</v>
      </c>
      <c r="D28" s="13" t="str">
        <f>Base_SINISA_Esgoto!C28</f>
        <v>Presente</v>
      </c>
      <c r="E28" s="13">
        <f>Base_SINISA_Agua!AC28</f>
        <v>0</v>
      </c>
      <c r="F28" s="13">
        <f>Base_SINISA_Esgoto!Q28</f>
        <v>1</v>
      </c>
      <c r="G28" s="13" t="str">
        <f>Base_Denominadores!H28</f>
        <v>OK</v>
      </c>
      <c r="H28" s="13" t="str">
        <f>Base_Denominadores!I28</f>
        <v>OK</v>
      </c>
      <c r="I28" s="13" t="str">
        <f>Base_Denominadores!J28</f>
        <v>Incoerente – ICA/ICE menor que domicílios residenciais ocupados</v>
      </c>
      <c r="J28" s="13" t="str">
        <f>Sol_Alternativas!C28</f>
        <v>Sim</v>
      </c>
      <c r="K28" s="13" t="str">
        <f>Base_SINISA_Agua!AD28</f>
        <v>OK</v>
      </c>
      <c r="L28" s="13" t="str">
        <f>Base_SINISA_Agua!AE28</f>
        <v>OK</v>
      </c>
      <c r="M28" s="13" t="str">
        <f>Base_SINISA_Esgoto!R28</f>
        <v>n.a.</v>
      </c>
      <c r="N28" s="13" t="str">
        <f>Base_SINISA_Esgoto!S28</f>
        <v>OK</v>
      </c>
      <c r="O28" s="13" t="str">
        <f>IF(OR(NOT(ISNUMBER(Resultados!C28)),NOT(ISNUMBER(Resultados!E28))),"n.a.",IF(Resultados!E28&gt;=Resultados!C28,"OK","Alerta de coerência – cobertura &lt; atendimento"))</f>
        <v>n.a.</v>
      </c>
      <c r="P28" s="13" t="str">
        <f>IF(OR(NOT(ISNUMBER(Resultados!G28)),NOT(ISNUMBER(Resultados!I28))),"n.a.",IF(Resultados!I28&gt;=Resultados!G28,"OK","Alerta de coerência – cobertura &lt; atendimento"))</f>
        <v>n.a.</v>
      </c>
      <c r="Q28" s="13" t="str">
        <f>IF(SUMPRODUCT((ISNUMBER(Resultados!C28:J28))*(N(Resultados!C28:J28)&gt;1))&gt;0,"Alerta de consistência – acima de 100%","OK")</f>
        <v>Alerta de consistência – acima de 100%</v>
      </c>
      <c r="R28" s="13" t="str">
        <f>IF(Base_SINISA_Esgoto!C28="Ausente","n.a.",IF(AND(N(Base_SINISA_Esgoto!K28)&gt;0,N(Base_SINISA_Esgoto!E28)+N(Base_SINISA_Esgoto!F28)=0),"Atenção – ligações ativas sem tratamento","OK"))</f>
        <v>Atenção – ligações ativas sem tratamento</v>
      </c>
      <c r="S28" s="13" t="str">
        <f>Controle_Oficios!G28</f>
        <v>Enviado – sem resposta</v>
      </c>
      <c r="T28" s="13" t="str">
        <f>Resultados!Q28</f>
        <v>Não avaliada – ausência de elementos suficientes para aplicação dos testes de controle</v>
      </c>
    </row>
    <row r="29" spans="1:20" ht="15" customHeight="1" x14ac:dyDescent="0.35">
      <c r="A29" s="12">
        <v>3154002</v>
      </c>
      <c r="B29" s="12" t="s">
        <v>137</v>
      </c>
      <c r="C29" s="13" t="str">
        <f>Base_SINISA_Agua!C29</f>
        <v>Presente</v>
      </c>
      <c r="D29" s="13" t="str">
        <f>Base_SINISA_Esgoto!C29</f>
        <v>Presente</v>
      </c>
      <c r="E29" s="13">
        <f>Base_SINISA_Agua!AC29</f>
        <v>0</v>
      </c>
      <c r="F29" s="13">
        <f>Base_SINISA_Esgoto!Q29</f>
        <v>0</v>
      </c>
      <c r="G29" s="13" t="str">
        <f>Base_Denominadores!H29</f>
        <v>OK</v>
      </c>
      <c r="H29" s="13" t="str">
        <f>Base_Denominadores!I29</f>
        <v>Denominador ausente</v>
      </c>
      <c r="I29" s="13" t="str">
        <f>Base_Denominadores!J29</f>
        <v>OK</v>
      </c>
      <c r="J29" s="13" t="str">
        <f>Sol_Alternativas!C29</f>
        <v>Sim</v>
      </c>
      <c r="K29" s="13" t="str">
        <f>Base_SINISA_Agua!AD29</f>
        <v>OK</v>
      </c>
      <c r="L29" s="13" t="str">
        <f>Base_SINISA_Agua!AE29</f>
        <v>OK</v>
      </c>
      <c r="M29" s="13" t="str">
        <f>Base_SINISA_Esgoto!R29</f>
        <v>OK</v>
      </c>
      <c r="N29" s="13" t="str">
        <f>Base_SINISA_Esgoto!S29</f>
        <v>OK</v>
      </c>
      <c r="O29" s="13" t="str">
        <f>IF(OR(NOT(ISNUMBER(Resultados!C29)),NOT(ISNUMBER(Resultados!E29))),"n.a.",IF(Resultados!E29&gt;=Resultados!C29,"OK","Alerta de coerência – cobertura &lt; atendimento"))</f>
        <v>n.a.</v>
      </c>
      <c r="P29" s="13" t="str">
        <f>IF(OR(NOT(ISNUMBER(Resultados!G29)),NOT(ISNUMBER(Resultados!I29))),"n.a.",IF(Resultados!I29&gt;=Resultados!G29,"OK","Alerta de coerência – cobertura &lt; atendimento"))</f>
        <v>n.a.</v>
      </c>
      <c r="Q29" s="13" t="str">
        <f>IF(SUMPRODUCT((ISNUMBER(Resultados!C29:J29))*(N(Resultados!C29:J29)&gt;1))&gt;0,"Alerta de consistência – acima de 100%","OK")</f>
        <v>OK</v>
      </c>
      <c r="R29" s="13" t="str">
        <f>IF(Base_SINISA_Esgoto!C29="Ausente","n.a.",IF(AND(N(Base_SINISA_Esgoto!K29)&gt;0,N(Base_SINISA_Esgoto!E29)+N(Base_SINISA_Esgoto!F29)=0),"Atenção – ligações ativas sem tratamento","OK"))</f>
        <v>Atenção – ligações ativas sem tratamento</v>
      </c>
      <c r="S29" s="13" t="str">
        <f>Controle_Oficios!G29</f>
        <v>Respondeu – parcialmente</v>
      </c>
      <c r="T29" s="13" t="str">
        <f>Resultados!Q29</f>
        <v>Não avaliada – ausência de elementos suficientes para aplicação dos testes de controle</v>
      </c>
    </row>
    <row r="30" spans="1:20" ht="15" customHeight="1" x14ac:dyDescent="0.35">
      <c r="A30" s="12">
        <v>3154101</v>
      </c>
      <c r="B30" s="12" t="s">
        <v>138</v>
      </c>
      <c r="C30" s="13" t="str">
        <f>Base_SINISA_Agua!C30</f>
        <v>Presente</v>
      </c>
      <c r="D30" s="13" t="str">
        <f>Base_SINISA_Esgoto!C30</f>
        <v>Presente</v>
      </c>
      <c r="E30" s="13">
        <f>Base_SINISA_Agua!AC30</f>
        <v>1</v>
      </c>
      <c r="F30" s="13">
        <f>Base_SINISA_Esgoto!Q30</f>
        <v>0</v>
      </c>
      <c r="G30" s="13" t="str">
        <f>Base_Denominadores!H30</f>
        <v>OK</v>
      </c>
      <c r="H30" s="13" t="str">
        <f>Base_Denominadores!I30</f>
        <v>OK</v>
      </c>
      <c r="I30" s="13" t="str">
        <f>Base_Denominadores!J30</f>
        <v>Incoerente – ICA/ICE menor que domicílios residenciais ocupados</v>
      </c>
      <c r="J30" s="13" t="str">
        <f>Sol_Alternativas!C30</f>
        <v>Sim</v>
      </c>
      <c r="K30" s="13" t="str">
        <f>Base_SINISA_Agua!AD30</f>
        <v>OK</v>
      </c>
      <c r="L30" s="13" t="str">
        <f>Base_SINISA_Agua!AE30</f>
        <v>OK</v>
      </c>
      <c r="M30" s="13" t="str">
        <f>Base_SINISA_Esgoto!R30</f>
        <v>OK</v>
      </c>
      <c r="N30" s="13" t="str">
        <f>Base_SINISA_Esgoto!S30</f>
        <v>OK</v>
      </c>
      <c r="O30" s="13" t="str">
        <f>IF(OR(NOT(ISNUMBER(Resultados!C30)),NOT(ISNUMBER(Resultados!E30))),"n.a.",IF(Resultados!E30&gt;=Resultados!C30,"OK","Alerta de coerência – cobertura &lt; atendimento"))</f>
        <v>n.a.</v>
      </c>
      <c r="P30" s="13" t="str">
        <f>IF(OR(NOT(ISNUMBER(Resultados!G30)),NOT(ISNUMBER(Resultados!I30))),"n.a.",IF(Resultados!I30&gt;=Resultados!G30,"OK","Alerta de coerência – cobertura &lt; atendimento"))</f>
        <v>n.a.</v>
      </c>
      <c r="Q30" s="13" t="str">
        <f>IF(SUMPRODUCT((ISNUMBER(Resultados!C30:J30))*(N(Resultados!C30:J30)&gt;1))&gt;0,"Alerta de consistência – acima de 100%","OK")</f>
        <v>OK</v>
      </c>
      <c r="R30" s="13" t="str">
        <f>IF(Base_SINISA_Esgoto!C30="Ausente","n.a.",IF(AND(N(Base_SINISA_Esgoto!K30)&gt;0,N(Base_SINISA_Esgoto!E30)+N(Base_SINISA_Esgoto!F30)=0),"Atenção – ligações ativas sem tratamento","OK"))</f>
        <v>Atenção – ligações ativas sem tratamento</v>
      </c>
      <c r="S30" s="13" t="str">
        <f>Controle_Oficios!G30</f>
        <v>Enviado – sem resposta</v>
      </c>
      <c r="T30" s="13" t="str">
        <f>Resultados!Q30</f>
        <v>Não avaliada – ausência de elementos suficientes para aplicação dos testes de controle</v>
      </c>
    </row>
    <row r="31" spans="1:20" ht="15" customHeight="1" x14ac:dyDescent="0.35">
      <c r="A31" s="12">
        <v>3154150</v>
      </c>
      <c r="B31" s="12" t="s">
        <v>139</v>
      </c>
      <c r="C31" s="13" t="str">
        <f>Base_SINISA_Agua!C31</f>
        <v>Presente</v>
      </c>
      <c r="D31" s="13" t="str">
        <f>Base_SINISA_Esgoto!C31</f>
        <v>Presente</v>
      </c>
      <c r="E31" s="13">
        <f>Base_SINISA_Agua!AC31</f>
        <v>0</v>
      </c>
      <c r="F31" s="13">
        <f>Base_SINISA_Esgoto!Q31</f>
        <v>5</v>
      </c>
      <c r="G31" s="13" t="str">
        <f>Base_Denominadores!H31</f>
        <v>Denominador ausente</v>
      </c>
      <c r="H31" s="13" t="str">
        <f>Base_Denominadores!I31</f>
        <v>Denominador ausente</v>
      </c>
      <c r="I31" s="13" t="str">
        <f>Base_Denominadores!J31</f>
        <v>OK</v>
      </c>
      <c r="J31" s="13" t="str">
        <f>Sol_Alternativas!C31</f>
        <v>Não</v>
      </c>
      <c r="K31" s="13" t="str">
        <f>Base_SINISA_Agua!AD31</f>
        <v>OK</v>
      </c>
      <c r="L31" s="13" t="str">
        <f>Base_SINISA_Agua!AE31</f>
        <v>OK</v>
      </c>
      <c r="M31" s="13" t="str">
        <f>Base_SINISA_Esgoto!R31</f>
        <v>n.a.</v>
      </c>
      <c r="N31" s="13" t="str">
        <f>Base_SINISA_Esgoto!S31</f>
        <v>n.a.</v>
      </c>
      <c r="O31" s="13" t="str">
        <f>IF(OR(NOT(ISNUMBER(Resultados!C31)),NOT(ISNUMBER(Resultados!E31))),"n.a.",IF(Resultados!E31&gt;=Resultados!C31,"OK","Alerta de coerência – cobertura &lt; atendimento"))</f>
        <v>n.a.</v>
      </c>
      <c r="P31" s="13" t="str">
        <f>IF(OR(NOT(ISNUMBER(Resultados!G31)),NOT(ISNUMBER(Resultados!I31))),"n.a.",IF(Resultados!I31&gt;=Resultados!G31,"OK","Alerta de coerência – cobertura &lt; atendimento"))</f>
        <v>n.a.</v>
      </c>
      <c r="Q31" s="13" t="str">
        <f>IF(SUMPRODUCT((ISNUMBER(Resultados!C31:J31))*(N(Resultados!C31:J31)&gt;1))&gt;0,"Alerta de consistência – acima de 100%","OK")</f>
        <v>OK</v>
      </c>
      <c r="R31" s="13" t="str">
        <f>IF(Base_SINISA_Esgoto!C31="Ausente","n.a.",IF(AND(N(Base_SINISA_Esgoto!K31)&gt;0,N(Base_SINISA_Esgoto!E31)+N(Base_SINISA_Esgoto!F31)=0),"Atenção – ligações ativas sem tratamento","OK"))</f>
        <v>Atenção – ligações ativas sem tratamento</v>
      </c>
      <c r="S31" s="13" t="str">
        <f>Controle_Oficios!G31</f>
        <v>Enviado – sem resposta</v>
      </c>
      <c r="T31" s="13" t="str">
        <f>Resultados!Q31</f>
        <v>Não avaliada – ausência de elementos suficientes para aplicação dos testes de controle</v>
      </c>
    </row>
    <row r="32" spans="1:20" ht="15" customHeight="1" x14ac:dyDescent="0.35">
      <c r="A32" s="12">
        <v>3165701</v>
      </c>
      <c r="B32" s="12" t="s">
        <v>141</v>
      </c>
      <c r="C32" s="13" t="str">
        <f>Base_SINISA_Agua!C32</f>
        <v>Presente</v>
      </c>
      <c r="D32" s="13" t="str">
        <f>Base_SINISA_Esgoto!C32</f>
        <v>Presente</v>
      </c>
      <c r="E32" s="13">
        <f>Base_SINISA_Agua!AC32</f>
        <v>1</v>
      </c>
      <c r="F32" s="13">
        <f>Base_SINISA_Esgoto!Q32</f>
        <v>0</v>
      </c>
      <c r="G32" s="13" t="str">
        <f>Base_Denominadores!H32</f>
        <v>OK</v>
      </c>
      <c r="H32" s="13" t="str">
        <f>Base_Denominadores!I32</f>
        <v>Denominador ausente</v>
      </c>
      <c r="I32" s="13" t="str">
        <f>Base_Denominadores!J32</f>
        <v>OK</v>
      </c>
      <c r="J32" s="13" t="str">
        <f>Sol_Alternativas!C32</f>
        <v>Sim</v>
      </c>
      <c r="K32" s="13" t="str">
        <f>Base_SINISA_Agua!AD32</f>
        <v>OK</v>
      </c>
      <c r="L32" s="13" t="str">
        <f>Base_SINISA_Agua!AE32</f>
        <v>OK</v>
      </c>
      <c r="M32" s="13" t="str">
        <f>Base_SINISA_Esgoto!R32</f>
        <v>OK</v>
      </c>
      <c r="N32" s="13" t="str">
        <f>Base_SINISA_Esgoto!S32</f>
        <v>OK</v>
      </c>
      <c r="O32" s="13" t="str">
        <f>IF(OR(NOT(ISNUMBER(Resultados!C32)),NOT(ISNUMBER(Resultados!E32))),"n.a.",IF(Resultados!E32&gt;=Resultados!C32,"OK","Alerta de coerência – cobertura &lt; atendimento"))</f>
        <v>n.a.</v>
      </c>
      <c r="P32" s="13" t="str">
        <f>IF(OR(NOT(ISNUMBER(Resultados!G32)),NOT(ISNUMBER(Resultados!I32))),"n.a.",IF(Resultados!I32&gt;=Resultados!G32,"OK","Alerta de coerência – cobertura &lt; atendimento"))</f>
        <v>n.a.</v>
      </c>
      <c r="Q32" s="13" t="str">
        <f>IF(SUMPRODUCT((ISNUMBER(Resultados!C32:J32))*(N(Resultados!C32:J32)&gt;1))&gt;0,"Alerta de consistência – acima de 100%","OK")</f>
        <v>OK</v>
      </c>
      <c r="R32" s="13" t="str">
        <f>IF(Base_SINISA_Esgoto!C32="Ausente","n.a.",IF(AND(N(Base_SINISA_Esgoto!K32)&gt;0,N(Base_SINISA_Esgoto!E32)+N(Base_SINISA_Esgoto!F32)=0),"Atenção – ligações ativas sem tratamento","OK"))</f>
        <v>Atenção – ligações ativas sem tratamento</v>
      </c>
      <c r="S32" s="13" t="str">
        <f>Controle_Oficios!G32</f>
        <v>Enviado – sem resposta</v>
      </c>
      <c r="T32" s="13" t="str">
        <f>Resultados!Q32</f>
        <v>Não avaliada – ausência de elementos suficientes para aplicação dos testes de controle</v>
      </c>
    </row>
    <row r="33" spans="1:20" ht="15" customHeight="1" x14ac:dyDescent="0.35">
      <c r="A33" s="12">
        <v>3161403</v>
      </c>
      <c r="B33" s="12" t="s">
        <v>142</v>
      </c>
      <c r="C33" s="13" t="str">
        <f>Base_SINISA_Agua!C33</f>
        <v>Presente</v>
      </c>
      <c r="D33" s="13" t="str">
        <f>Base_SINISA_Esgoto!C33</f>
        <v>Presente</v>
      </c>
      <c r="E33" s="13">
        <f>Base_SINISA_Agua!AC33</f>
        <v>2</v>
      </c>
      <c r="F33" s="13">
        <f>Base_SINISA_Esgoto!Q33</f>
        <v>5</v>
      </c>
      <c r="G33" s="13" t="str">
        <f>Base_Denominadores!H33</f>
        <v>OK</v>
      </c>
      <c r="H33" s="13" t="str">
        <f>Base_Denominadores!I33</f>
        <v>Denominador ausente</v>
      </c>
      <c r="I33" s="13" t="str">
        <f>Base_Denominadores!J33</f>
        <v>OK</v>
      </c>
      <c r="J33" s="13" t="str">
        <f>Sol_Alternativas!C33</f>
        <v>Sim</v>
      </c>
      <c r="K33" s="13" t="str">
        <f>Base_SINISA_Agua!AD33</f>
        <v>OK</v>
      </c>
      <c r="L33" s="13" t="str">
        <f>Base_SINISA_Agua!AE33</f>
        <v>OK</v>
      </c>
      <c r="M33" s="13" t="str">
        <f>Base_SINISA_Esgoto!R33</f>
        <v>n.a.</v>
      </c>
      <c r="N33" s="13" t="str">
        <f>Base_SINISA_Esgoto!S33</f>
        <v>n.a.</v>
      </c>
      <c r="O33" s="13" t="str">
        <f>IF(OR(NOT(ISNUMBER(Resultados!C33)),NOT(ISNUMBER(Resultados!E33))),"n.a.",IF(Resultados!E33&gt;=Resultados!C33,"OK","Alerta de coerência – cobertura &lt; atendimento"))</f>
        <v>n.a.</v>
      </c>
      <c r="P33" s="13" t="str">
        <f>IF(OR(NOT(ISNUMBER(Resultados!G33)),NOT(ISNUMBER(Resultados!I33))),"n.a.",IF(Resultados!I33&gt;=Resultados!G33,"OK","Alerta de coerência – cobertura &lt; atendimento"))</f>
        <v>n.a.</v>
      </c>
      <c r="Q33" s="13" t="str">
        <f>IF(SUMPRODUCT((ISNUMBER(Resultados!C33:J33))*(N(Resultados!C33:J33)&gt;1))&gt;0,"Alerta de consistência – acima de 100%","OK")</f>
        <v>OK</v>
      </c>
      <c r="R33" s="13" t="str">
        <f>IF(Base_SINISA_Esgoto!C33="Ausente","n.a.",IF(AND(N(Base_SINISA_Esgoto!K33)&gt;0,N(Base_SINISA_Esgoto!E33)+N(Base_SINISA_Esgoto!F33)=0),"Atenção – ligações ativas sem tratamento","OK"))</f>
        <v>Atenção – ligações ativas sem tratamento</v>
      </c>
      <c r="S33" s="13" t="str">
        <f>Controle_Oficios!G33</f>
        <v>Enviado – sem resposta</v>
      </c>
      <c r="T33" s="13" t="str">
        <f>Resultados!Q33</f>
        <v>Não avaliada – ausência de elementos suficientes para aplicação dos testes de controle</v>
      </c>
    </row>
    <row r="34" spans="1:20" ht="15" customHeight="1" x14ac:dyDescent="0.35">
      <c r="A34" s="12">
        <v>3168051</v>
      </c>
      <c r="B34" s="12" t="s">
        <v>144</v>
      </c>
      <c r="C34" s="13" t="str">
        <f>Base_SINISA_Agua!C34</f>
        <v>Presente</v>
      </c>
      <c r="D34" s="13" t="str">
        <f>Base_SINISA_Esgoto!C34</f>
        <v>Ausente</v>
      </c>
      <c r="E34" s="13">
        <f>Base_SINISA_Agua!AC34</f>
        <v>1</v>
      </c>
      <c r="F34" s="13">
        <f>Base_SINISA_Esgoto!Q34</f>
        <v>6</v>
      </c>
      <c r="G34" s="13" t="str">
        <f>Base_Denominadores!H34</f>
        <v>Denominador ausente</v>
      </c>
      <c r="H34" s="13" t="str">
        <f>Base_Denominadores!I34</f>
        <v>Denominador ausente</v>
      </c>
      <c r="I34" s="13" t="str">
        <f>Base_Denominadores!J34</f>
        <v>OK</v>
      </c>
      <c r="J34" s="13" t="str">
        <f>Sol_Alternativas!C34</f>
        <v>Sim</v>
      </c>
      <c r="K34" s="13" t="str">
        <f>Base_SINISA_Agua!AD34</f>
        <v>OK</v>
      </c>
      <c r="L34" s="13" t="str">
        <f>Base_SINISA_Agua!AE34</f>
        <v>OK</v>
      </c>
      <c r="M34" s="13" t="str">
        <f>Base_SINISA_Esgoto!R34</f>
        <v>n.a.</v>
      </c>
      <c r="N34" s="13" t="str">
        <f>Base_SINISA_Esgoto!S34</f>
        <v>n.a.</v>
      </c>
      <c r="O34" s="13" t="str">
        <f>IF(OR(NOT(ISNUMBER(Resultados!C34)),NOT(ISNUMBER(Resultados!E34))),"n.a.",IF(Resultados!E34&gt;=Resultados!C34,"OK","Alerta de coerência – cobertura &lt; atendimento"))</f>
        <v>n.a.</v>
      </c>
      <c r="P34" s="13" t="str">
        <f>IF(OR(NOT(ISNUMBER(Resultados!G34)),NOT(ISNUMBER(Resultados!I34))),"n.a.",IF(Resultados!I34&gt;=Resultados!G34,"OK","Alerta de coerência – cobertura &lt; atendimento"))</f>
        <v>n.a.</v>
      </c>
      <c r="Q34" s="13" t="str">
        <f>IF(SUMPRODUCT((ISNUMBER(Resultados!C34:J34))*(N(Resultados!C34:J34)&gt;1))&gt;0,"Alerta de consistência – acima de 100%","OK")</f>
        <v>OK</v>
      </c>
      <c r="R34" s="13" t="str">
        <f>IF(Base_SINISA_Esgoto!C34="Ausente","n.a.",IF(AND(N(Base_SINISA_Esgoto!K34)&gt;0,N(Base_SINISA_Esgoto!E34)+N(Base_SINISA_Esgoto!F34)=0),"Atenção – ligações ativas sem tratamento","OK"))</f>
        <v>n.a.</v>
      </c>
      <c r="S34" s="13" t="str">
        <f>Controle_Oficios!G34</f>
        <v>Respondeu – parcialmente</v>
      </c>
      <c r="T34" s="13" t="str">
        <f>Resultados!Q34</f>
        <v>Não avaliada – ausência de elementos suficientes para aplicação dos testes de controle</v>
      </c>
    </row>
    <row r="35" spans="1:20" ht="15" customHeight="1" x14ac:dyDescent="0.35">
      <c r="A35" s="12">
        <v>3169000</v>
      </c>
      <c r="B35" s="12" t="s">
        <v>146</v>
      </c>
      <c r="C35" s="13" t="str">
        <f>Base_SINISA_Agua!C35</f>
        <v>Presente</v>
      </c>
      <c r="D35" s="13" t="str">
        <f>Base_SINISA_Esgoto!C35</f>
        <v>Ausente</v>
      </c>
      <c r="E35" s="13">
        <f>Base_SINISA_Agua!AC35</f>
        <v>1</v>
      </c>
      <c r="F35" s="13">
        <f>Base_SINISA_Esgoto!Q35</f>
        <v>6</v>
      </c>
      <c r="G35" s="13" t="str">
        <f>Base_Denominadores!H35</f>
        <v>OK</v>
      </c>
      <c r="H35" s="13" t="str">
        <f>Base_Denominadores!I35</f>
        <v>Denominador ausente</v>
      </c>
      <c r="I35" s="13" t="str">
        <f>Base_Denominadores!J35</f>
        <v>OK</v>
      </c>
      <c r="J35" s="13" t="str">
        <f>Sol_Alternativas!C35</f>
        <v>Sim</v>
      </c>
      <c r="K35" s="13" t="str">
        <f>Base_SINISA_Agua!AD35</f>
        <v>OK</v>
      </c>
      <c r="L35" s="13" t="str">
        <f>Base_SINISA_Agua!AE35</f>
        <v>OK</v>
      </c>
      <c r="M35" s="13" t="str">
        <f>Base_SINISA_Esgoto!R35</f>
        <v>n.a.</v>
      </c>
      <c r="N35" s="13" t="str">
        <f>Base_SINISA_Esgoto!S35</f>
        <v>n.a.</v>
      </c>
      <c r="O35" s="13" t="str">
        <f>IF(OR(NOT(ISNUMBER(Resultados!C35)),NOT(ISNUMBER(Resultados!E35))),"n.a.",IF(Resultados!E35&gt;=Resultados!C35,"OK","Alerta de coerência – cobertura &lt; atendimento"))</f>
        <v>n.a.</v>
      </c>
      <c r="P35" s="13" t="str">
        <f>IF(OR(NOT(ISNUMBER(Resultados!G35)),NOT(ISNUMBER(Resultados!I35))),"n.a.",IF(Resultados!I35&gt;=Resultados!G35,"OK","Alerta de coerência – cobertura &lt; atendimento"))</f>
        <v>n.a.</v>
      </c>
      <c r="Q35" s="13" t="str">
        <f>IF(SUMPRODUCT((ISNUMBER(Resultados!C35:J35))*(N(Resultados!C35:J35)&gt;1))&gt;0,"Alerta de consistência – acima de 100%","OK")</f>
        <v>OK</v>
      </c>
      <c r="R35" s="13" t="str">
        <f>IF(Base_SINISA_Esgoto!C35="Ausente","n.a.",IF(AND(N(Base_SINISA_Esgoto!K35)&gt;0,N(Base_SINISA_Esgoto!E35)+N(Base_SINISA_Esgoto!F35)=0),"Atenção – ligações ativas sem tratamento","OK"))</f>
        <v>n.a.</v>
      </c>
      <c r="S35" s="13" t="str">
        <f>Controle_Oficios!G35</f>
        <v>Enviado – sem resposta</v>
      </c>
      <c r="T35" s="13" t="str">
        <f>Resultados!Q35</f>
        <v>Não avaliada – ausência de elementos suficientes para aplicação dos testes de controle</v>
      </c>
    </row>
    <row r="36" spans="1:20" ht="15" customHeight="1" x14ac:dyDescent="0.35">
      <c r="A36" s="12">
        <v>3169208</v>
      </c>
      <c r="B36" s="12" t="s">
        <v>148</v>
      </c>
      <c r="C36" s="13" t="str">
        <f>Base_SINISA_Agua!C36</f>
        <v>Presente</v>
      </c>
      <c r="D36" s="13" t="str">
        <f>Base_SINISA_Esgoto!C36</f>
        <v>Presente</v>
      </c>
      <c r="E36" s="13">
        <f>Base_SINISA_Agua!AC36</f>
        <v>1</v>
      </c>
      <c r="F36" s="13">
        <f>Base_SINISA_Esgoto!Q36</f>
        <v>4</v>
      </c>
      <c r="G36" s="13" t="str">
        <f>Base_Denominadores!H36</f>
        <v>Denominador ausente</v>
      </c>
      <c r="H36" s="13" t="str">
        <f>Base_Denominadores!I36</f>
        <v>Denominador ausente</v>
      </c>
      <c r="I36" s="13" t="str">
        <f>Base_Denominadores!J36</f>
        <v>OK</v>
      </c>
      <c r="J36" s="13" t="str">
        <f>Sol_Alternativas!C36</f>
        <v>Sim</v>
      </c>
      <c r="K36" s="13" t="str">
        <f>Base_SINISA_Agua!AD36</f>
        <v>OK</v>
      </c>
      <c r="L36" s="13" t="str">
        <f>Base_SINISA_Agua!AE36</f>
        <v>OK</v>
      </c>
      <c r="M36" s="13" t="str">
        <f>Base_SINISA_Esgoto!R36</f>
        <v>OK</v>
      </c>
      <c r="N36" s="13" t="str">
        <f>Base_SINISA_Esgoto!S36</f>
        <v>n.a.</v>
      </c>
      <c r="O36" s="13" t="str">
        <f>IF(OR(NOT(ISNUMBER(Resultados!C36)),NOT(ISNUMBER(Resultados!E36))),"n.a.",IF(Resultados!E36&gt;=Resultados!C36,"OK","Alerta de coerência – cobertura &lt; atendimento"))</f>
        <v>n.a.</v>
      </c>
      <c r="P36" s="13" t="str">
        <f>IF(OR(NOT(ISNUMBER(Resultados!G36)),NOT(ISNUMBER(Resultados!I36))),"n.a.",IF(Resultados!I36&gt;=Resultados!G36,"OK","Alerta de coerência – cobertura &lt; atendimento"))</f>
        <v>n.a.</v>
      </c>
      <c r="Q36" s="13" t="str">
        <f>IF(SUMPRODUCT((ISNUMBER(Resultados!C36:J36))*(N(Resultados!C36:J36)&gt;1))&gt;0,"Alerta de consistência – acima de 100%","OK")</f>
        <v>OK</v>
      </c>
      <c r="R36" s="13" t="str">
        <f>IF(Base_SINISA_Esgoto!C36="Ausente","n.a.",IF(AND(N(Base_SINISA_Esgoto!K36)&gt;0,N(Base_SINISA_Esgoto!E36)+N(Base_SINISA_Esgoto!F36)=0),"Atenção – ligações ativas sem tratamento","OK"))</f>
        <v>Atenção – ligações ativas sem tratamento</v>
      </c>
      <c r="S36" s="13" t="str">
        <f>Controle_Oficios!G36</f>
        <v>Enviado – sem resposta</v>
      </c>
      <c r="T36" s="13" t="str">
        <f>Resultados!Q36</f>
        <v>Não avaliada – ausência de elementos suficientes para aplicação dos testes de controle</v>
      </c>
    </row>
    <row r="37" spans="1:20" ht="15" customHeight="1" x14ac:dyDescent="0.35">
      <c r="A37" s="12">
        <v>3171154</v>
      </c>
      <c r="B37" s="12" t="s">
        <v>149</v>
      </c>
      <c r="C37" s="13" t="str">
        <f>Base_SINISA_Agua!C37</f>
        <v>Presente</v>
      </c>
      <c r="D37" s="13" t="str">
        <f>Base_SINISA_Esgoto!C37</f>
        <v>Presente</v>
      </c>
      <c r="E37" s="13">
        <f>Base_SINISA_Agua!AC37</f>
        <v>0</v>
      </c>
      <c r="F37" s="13">
        <f>Base_SINISA_Esgoto!Q37</f>
        <v>0</v>
      </c>
      <c r="G37" s="13" t="str">
        <f>Base_Denominadores!H37</f>
        <v>OK</v>
      </c>
      <c r="H37" s="13" t="str">
        <f>Base_Denominadores!I37</f>
        <v>OK</v>
      </c>
      <c r="I37" s="13" t="str">
        <f>Base_Denominadores!J37</f>
        <v>Incoerente – ICA/ICE menor que domicílios residenciais ocupados</v>
      </c>
      <c r="J37" s="13" t="str">
        <f>Sol_Alternativas!C37</f>
        <v>Sim</v>
      </c>
      <c r="K37" s="13" t="str">
        <f>Base_SINISA_Agua!AD37</f>
        <v>OK</v>
      </c>
      <c r="L37" s="13" t="str">
        <f>Base_SINISA_Agua!AE37</f>
        <v>OK</v>
      </c>
      <c r="M37" s="13" t="str">
        <f>Base_SINISA_Esgoto!R37</f>
        <v>OK</v>
      </c>
      <c r="N37" s="13" t="str">
        <f>Base_SINISA_Esgoto!S37</f>
        <v>OK</v>
      </c>
      <c r="O37" s="13" t="str">
        <f>IF(OR(NOT(ISNUMBER(Resultados!C37)),NOT(ISNUMBER(Resultados!E37))),"n.a.",IF(Resultados!E37&gt;=Resultados!C37,"OK","Alerta de coerência – cobertura &lt; atendimento"))</f>
        <v>n.a.</v>
      </c>
      <c r="P37" s="13" t="str">
        <f>IF(OR(NOT(ISNUMBER(Resultados!G37)),NOT(ISNUMBER(Resultados!I37))),"n.a.",IF(Resultados!I37&gt;=Resultados!G37,"OK","Alerta de coerência – cobertura &lt; atendimento"))</f>
        <v>n.a.</v>
      </c>
      <c r="Q37" s="13" t="str">
        <f>IF(SUMPRODUCT((ISNUMBER(Resultados!C37:J37))*(N(Resultados!C37:J37)&gt;1))&gt;0,"Alerta de consistência – acima de 100%","OK")</f>
        <v>OK</v>
      </c>
      <c r="R37" s="13" t="str">
        <f>IF(Base_SINISA_Esgoto!C37="Ausente","n.a.",IF(AND(N(Base_SINISA_Esgoto!K37)&gt;0,N(Base_SINISA_Esgoto!E37)+N(Base_SINISA_Esgoto!F37)=0),"Atenção – ligações ativas sem tratamento","OK"))</f>
        <v>OK</v>
      </c>
      <c r="S37" s="13" t="str">
        <f>Controle_Oficios!G37</f>
        <v>Enviado – sem resposta</v>
      </c>
      <c r="T37" s="13" t="str">
        <f>Resultados!Q37</f>
        <v>Não avaliada – ausência de elementos suficientes para aplicação dos testes de controle</v>
      </c>
    </row>
    <row r="38" spans="1:20" ht="15" customHeight="1" x14ac:dyDescent="0.35">
      <c r="A38" s="12">
        <v>3171303</v>
      </c>
      <c r="B38" s="12" t="s">
        <v>150</v>
      </c>
      <c r="C38" s="13" t="str">
        <f>Base_SINISA_Agua!C38</f>
        <v>Presente</v>
      </c>
      <c r="D38" s="13" t="str">
        <f>Base_SINISA_Esgoto!C38</f>
        <v>Presente</v>
      </c>
      <c r="E38" s="13">
        <f>Base_SINISA_Agua!AC38</f>
        <v>0</v>
      </c>
      <c r="F38" s="13">
        <f>Base_SINISA_Esgoto!Q38</f>
        <v>0</v>
      </c>
      <c r="G38" s="13" t="str">
        <f>Base_Denominadores!H38</f>
        <v>OK</v>
      </c>
      <c r="H38" s="13" t="str">
        <f>Base_Denominadores!I38</f>
        <v>OK</v>
      </c>
      <c r="I38" s="13" t="str">
        <f>Base_Denominadores!J38</f>
        <v>OK</v>
      </c>
      <c r="J38" s="13" t="str">
        <f>Sol_Alternativas!C38</f>
        <v>Sim</v>
      </c>
      <c r="K38" s="13" t="str">
        <f>Base_SINISA_Agua!AD38</f>
        <v>OK</v>
      </c>
      <c r="L38" s="13" t="str">
        <f>Base_SINISA_Agua!AE38</f>
        <v>OK</v>
      </c>
      <c r="M38" s="13" t="str">
        <f>Base_SINISA_Esgoto!R38</f>
        <v>OK</v>
      </c>
      <c r="N38" s="13" t="str">
        <f>Base_SINISA_Esgoto!S38</f>
        <v>OK</v>
      </c>
      <c r="O38" s="13" t="str">
        <f>IF(OR(NOT(ISNUMBER(Resultados!C38)),NOT(ISNUMBER(Resultados!E38))),"n.a.",IF(Resultados!E38&gt;=Resultados!C38,"OK","Alerta de coerência – cobertura &lt; atendimento"))</f>
        <v>Alerta de coerência – cobertura &lt; atendimento</v>
      </c>
      <c r="P38" s="13" t="str">
        <f>IF(OR(NOT(ISNUMBER(Resultados!G38)),NOT(ISNUMBER(Resultados!I38))),"n.a.",IF(Resultados!I38&gt;=Resultados!G38,"OK","Alerta de coerência – cobertura &lt; atendimento"))</f>
        <v>Alerta de coerência – cobertura &lt; atendimento</v>
      </c>
      <c r="Q38" s="13" t="str">
        <f>IF(SUMPRODUCT((ISNUMBER(Resultados!C38:J38))*(N(Resultados!C38:J38)&gt;1))&gt;0,"Alerta de consistência – acima de 100%","OK")</f>
        <v>Alerta de consistência – acima de 100%</v>
      </c>
      <c r="R38" s="13" t="str">
        <f>IF(Base_SINISA_Esgoto!C38="Ausente","n.a.",IF(AND(N(Base_SINISA_Esgoto!K38)&gt;0,N(Base_SINISA_Esgoto!E38)+N(Base_SINISA_Esgoto!F38)=0),"Atenção – ligações ativas sem tratamento","OK"))</f>
        <v>OK</v>
      </c>
      <c r="S38" s="13" t="str">
        <f>Controle_Oficios!G38</f>
        <v>Respondeu – sem dados</v>
      </c>
      <c r="T38" s="13" t="str">
        <f>Resultados!Q38</f>
        <v>Não avaliada – ausência de elementos suficientes para aplicação dos testes de controle</v>
      </c>
    </row>
    <row r="39" spans="1:20" ht="15" customHeight="1" x14ac:dyDescent="0.35">
      <c r="A39" s="12">
        <v>3167202</v>
      </c>
      <c r="B39" s="12" t="s">
        <v>151</v>
      </c>
      <c r="C39" s="13" t="str">
        <f>Base_SINISA_Agua!C39</f>
        <v>Presente</v>
      </c>
      <c r="D39" s="13" t="str">
        <f>Base_SINISA_Esgoto!C39</f>
        <v>Presente</v>
      </c>
      <c r="E39" s="13">
        <f>Base_SINISA_Agua!AC39</f>
        <v>1</v>
      </c>
      <c r="F39" s="13">
        <f>Base_SINISA_Esgoto!Q39</f>
        <v>4</v>
      </c>
      <c r="G39" s="13" t="str">
        <f>Base_Denominadores!H39</f>
        <v>Denominador ausente</v>
      </c>
      <c r="H39" s="13" t="str">
        <f>Base_Denominadores!I39</f>
        <v>Denominador ausente</v>
      </c>
      <c r="I39" s="13" t="str">
        <f>Base_Denominadores!J39</f>
        <v>OK</v>
      </c>
      <c r="J39" s="13" t="str">
        <f>Sol_Alternativas!C39</f>
        <v>Sim</v>
      </c>
      <c r="K39" s="13" t="str">
        <f>Base_SINISA_Agua!AD39</f>
        <v>OK</v>
      </c>
      <c r="L39" s="13" t="str">
        <f>Base_SINISA_Agua!AE39</f>
        <v>OK</v>
      </c>
      <c r="M39" s="13" t="str">
        <f>Base_SINISA_Esgoto!R39</f>
        <v>n.a.</v>
      </c>
      <c r="N39" s="13" t="str">
        <f>Base_SINISA_Esgoto!S39</f>
        <v>n.a.</v>
      </c>
      <c r="O39" s="13" t="str">
        <f>IF(OR(NOT(ISNUMBER(Resultados!C39)),NOT(ISNUMBER(Resultados!E39))),"n.a.",IF(Resultados!E39&gt;=Resultados!C39,"OK","Alerta de coerência – cobertura &lt; atendimento"))</f>
        <v>n.a.</v>
      </c>
      <c r="P39" s="13" t="str">
        <f>IF(OR(NOT(ISNUMBER(Resultados!G39)),NOT(ISNUMBER(Resultados!I39))),"n.a.",IF(Resultados!I39&gt;=Resultados!G39,"OK","Alerta de coerência – cobertura &lt; atendimento"))</f>
        <v>n.a.</v>
      </c>
      <c r="Q39" s="13" t="str">
        <f>IF(SUMPRODUCT((ISNUMBER(Resultados!C39:J39))*(N(Resultados!C39:J39)&gt;1))&gt;0,"Alerta de consistência – acima de 100%","OK")</f>
        <v>OK</v>
      </c>
      <c r="R39" s="13" t="str">
        <f>IF(Base_SINISA_Esgoto!C39="Ausente","n.a.",IF(AND(N(Base_SINISA_Esgoto!K39)&gt;0,N(Base_SINISA_Esgoto!E39)+N(Base_SINISA_Esgoto!F39)=0),"Atenção – ligações ativas sem tratamento","OK"))</f>
        <v>Atenção – ligações ativas sem tratamento</v>
      </c>
      <c r="S39" s="13" t="str">
        <f>Controle_Oficios!G39</f>
        <v>Respondeu – parcialmente</v>
      </c>
      <c r="T39" s="13" t="str">
        <f>Resultados!Q39</f>
        <v>Não avaliada – ausência de elementos suficientes para aplicação dos testes de controle</v>
      </c>
    </row>
    <row r="40" spans="1:20" ht="15" customHeight="1" x14ac:dyDescent="0.35">
      <c r="A40" s="12">
        <v>3146305</v>
      </c>
      <c r="B40" s="12" t="s">
        <v>153</v>
      </c>
      <c r="C40" s="13" t="str">
        <f>Base_SINISA_Agua!C40</f>
        <v>Presente</v>
      </c>
      <c r="D40" s="13" t="str">
        <f>Base_SINISA_Esgoto!C40</f>
        <v>Presente</v>
      </c>
      <c r="E40" s="13">
        <f>Base_SINISA_Agua!AC40</f>
        <v>0</v>
      </c>
      <c r="F40" s="13">
        <f>Base_SINISA_Esgoto!Q40</f>
        <v>1</v>
      </c>
      <c r="G40" s="13" t="str">
        <f>Base_Denominadores!H40</f>
        <v>Denominador ausente</v>
      </c>
      <c r="H40" s="13" t="str">
        <f>Base_Denominadores!I40</f>
        <v>Denominador ausente</v>
      </c>
      <c r="I40" s="13" t="str">
        <f>Base_Denominadores!J40</f>
        <v>OK</v>
      </c>
      <c r="J40" s="13" t="str">
        <f>Sol_Alternativas!C40</f>
        <v>Sim</v>
      </c>
      <c r="K40" s="13" t="str">
        <f>Base_SINISA_Agua!AD40</f>
        <v>OK</v>
      </c>
      <c r="L40" s="13" t="str">
        <f>Base_SINISA_Agua!AE40</f>
        <v>OK</v>
      </c>
      <c r="M40" s="13" t="str">
        <f>Base_SINISA_Esgoto!R40</f>
        <v>n.a.</v>
      </c>
      <c r="N40" s="13" t="str">
        <f>Base_SINISA_Esgoto!S40</f>
        <v>OK</v>
      </c>
      <c r="O40" s="13" t="str">
        <f>IF(OR(NOT(ISNUMBER(Resultados!C40)),NOT(ISNUMBER(Resultados!E40))),"n.a.",IF(Resultados!E40&gt;=Resultados!C40,"OK","Alerta de coerência – cobertura &lt; atendimento"))</f>
        <v>n.a.</v>
      </c>
      <c r="P40" s="13" t="str">
        <f>IF(OR(NOT(ISNUMBER(Resultados!G40)),NOT(ISNUMBER(Resultados!I40))),"n.a.",IF(Resultados!I40&gt;=Resultados!G40,"OK","Alerta de coerência – cobertura &lt; atendimento"))</f>
        <v>n.a.</v>
      </c>
      <c r="Q40" s="13" t="str">
        <f>IF(SUMPRODUCT((ISNUMBER(Resultados!C40:J40))*(N(Resultados!C40:J40)&gt;1))&gt;0,"Alerta de consistência – acima de 100%","OK")</f>
        <v>OK</v>
      </c>
      <c r="R40" s="13" t="str">
        <f>IF(Base_SINISA_Esgoto!C40="Ausente","n.a.",IF(AND(N(Base_SINISA_Esgoto!K40)&gt;0,N(Base_SINISA_Esgoto!E40)+N(Base_SINISA_Esgoto!F40)=0),"Atenção – ligações ativas sem tratamento","OK"))</f>
        <v>OK</v>
      </c>
      <c r="S40" s="13" t="str">
        <f>Controle_Oficios!G40</f>
        <v>Enviado – sem resposta</v>
      </c>
      <c r="T40" s="13" t="str">
        <f>Resultados!Q40</f>
        <v>Não avaliada – ausência de elementos suficientes para aplicação dos testes de controle</v>
      </c>
    </row>
    <row r="41" spans="1:20" ht="15" customHeight="1" x14ac:dyDescent="0.35">
      <c r="A41" s="12">
        <v>3120607</v>
      </c>
      <c r="B41" s="12" t="s">
        <v>155</v>
      </c>
      <c r="C41" s="13" t="str">
        <f>Base_SINISA_Agua!C41</f>
        <v>Presente</v>
      </c>
      <c r="D41" s="13" t="str">
        <f>Base_SINISA_Esgoto!C41</f>
        <v>Presente</v>
      </c>
      <c r="E41" s="13">
        <f>Base_SINISA_Agua!AC41</f>
        <v>0</v>
      </c>
      <c r="F41" s="13">
        <f>Base_SINISA_Esgoto!Q41</f>
        <v>4</v>
      </c>
      <c r="G41" s="13" t="str">
        <f>Base_Denominadores!H41</f>
        <v>Denominador ausente</v>
      </c>
      <c r="H41" s="13" t="str">
        <f>Base_Denominadores!I41</f>
        <v>Denominador ausente</v>
      </c>
      <c r="I41" s="13" t="str">
        <f>Base_Denominadores!J41</f>
        <v>OK</v>
      </c>
      <c r="J41" s="13" t="str">
        <f>Sol_Alternativas!C41</f>
        <v>Sim</v>
      </c>
      <c r="K41" s="13" t="str">
        <f>Base_SINISA_Agua!AD41</f>
        <v>OK</v>
      </c>
      <c r="L41" s="13" t="str">
        <f>Base_SINISA_Agua!AE41</f>
        <v>OK</v>
      </c>
      <c r="M41" s="13" t="str">
        <f>Base_SINISA_Esgoto!R41</f>
        <v>OK</v>
      </c>
      <c r="N41" s="13" t="str">
        <f>Base_SINISA_Esgoto!S41</f>
        <v>n.a.</v>
      </c>
      <c r="O41" s="13" t="str">
        <f>IF(OR(NOT(ISNUMBER(Resultados!C41)),NOT(ISNUMBER(Resultados!E41))),"n.a.",IF(Resultados!E41&gt;=Resultados!C41,"OK","Alerta de coerência – cobertura &lt; atendimento"))</f>
        <v>n.a.</v>
      </c>
      <c r="P41" s="13" t="str">
        <f>IF(OR(NOT(ISNUMBER(Resultados!G41)),NOT(ISNUMBER(Resultados!I41))),"n.a.",IF(Resultados!I41&gt;=Resultados!G41,"OK","Alerta de coerência – cobertura &lt; atendimento"))</f>
        <v>n.a.</v>
      </c>
      <c r="Q41" s="13" t="str">
        <f>IF(SUMPRODUCT((ISNUMBER(Resultados!C41:J41))*(N(Resultados!C41:J41)&gt;1))&gt;0,"Alerta de consistência – acima de 100%","OK")</f>
        <v>OK</v>
      </c>
      <c r="R41" s="13" t="str">
        <f>IF(Base_SINISA_Esgoto!C41="Ausente","n.a.",IF(AND(N(Base_SINISA_Esgoto!K41)&gt;0,N(Base_SINISA_Esgoto!E41)+N(Base_SINISA_Esgoto!F41)=0),"Atenção – ligações ativas sem tratamento","OK"))</f>
        <v>Atenção – ligações ativas sem tratamento</v>
      </c>
      <c r="S41" s="13" t="str">
        <f>Controle_Oficios!G41</f>
        <v>Enviado – sem resposta</v>
      </c>
      <c r="T41" s="13" t="str">
        <f>Resultados!Q41</f>
        <v>Não avaliada – ausência de elementos suficientes para aplicação dos testes de controle</v>
      </c>
    </row>
    <row r="42" spans="1:20" ht="15" customHeight="1" x14ac:dyDescent="0.35">
      <c r="A42" s="12">
        <v>3115706</v>
      </c>
      <c r="B42" s="12" t="s">
        <v>157</v>
      </c>
      <c r="C42" s="13" t="str">
        <f>Base_SINISA_Agua!C42</f>
        <v>Presente</v>
      </c>
      <c r="D42" s="13" t="str">
        <f>Base_SINISA_Esgoto!C42</f>
        <v>Presente</v>
      </c>
      <c r="E42" s="13">
        <f>Base_SINISA_Agua!AC42</f>
        <v>0</v>
      </c>
      <c r="F42" s="13">
        <f>Base_SINISA_Esgoto!Q42</f>
        <v>5</v>
      </c>
      <c r="G42" s="13" t="str">
        <f>Base_Denominadores!H42</f>
        <v>Denominador ausente</v>
      </c>
      <c r="H42" s="13" t="str">
        <f>Base_Denominadores!I42</f>
        <v>Denominador ausente</v>
      </c>
      <c r="I42" s="13" t="str">
        <f>Base_Denominadores!J42</f>
        <v>OK</v>
      </c>
      <c r="J42" s="13" t="str">
        <f>Sol_Alternativas!C42</f>
        <v>Não</v>
      </c>
      <c r="K42" s="13" t="str">
        <f>Base_SINISA_Agua!AD42</f>
        <v>OK</v>
      </c>
      <c r="L42" s="13" t="str">
        <f>Base_SINISA_Agua!AE42</f>
        <v>OK</v>
      </c>
      <c r="M42" s="13" t="str">
        <f>Base_SINISA_Esgoto!R42</f>
        <v>n.a.</v>
      </c>
      <c r="N42" s="13" t="str">
        <f>Base_SINISA_Esgoto!S42</f>
        <v>n.a.</v>
      </c>
      <c r="O42" s="13" t="str">
        <f>IF(OR(NOT(ISNUMBER(Resultados!C42)),NOT(ISNUMBER(Resultados!E42))),"n.a.",IF(Resultados!E42&gt;=Resultados!C42,"OK","Alerta de coerência – cobertura &lt; atendimento"))</f>
        <v>n.a.</v>
      </c>
      <c r="P42" s="13" t="str">
        <f>IF(OR(NOT(ISNUMBER(Resultados!G42)),NOT(ISNUMBER(Resultados!I42))),"n.a.",IF(Resultados!I42&gt;=Resultados!G42,"OK","Alerta de coerência – cobertura &lt; atendimento"))</f>
        <v>n.a.</v>
      </c>
      <c r="Q42" s="13" t="str">
        <f>IF(SUMPRODUCT((ISNUMBER(Resultados!C42:J42))*(N(Resultados!C42:J42)&gt;1))&gt;0,"Alerta de consistência – acima de 100%","OK")</f>
        <v>OK</v>
      </c>
      <c r="R42" s="13" t="str">
        <f>IF(Base_SINISA_Esgoto!C42="Ausente","n.a.",IF(AND(N(Base_SINISA_Esgoto!K42)&gt;0,N(Base_SINISA_Esgoto!E42)+N(Base_SINISA_Esgoto!F42)=0),"Atenção – ligações ativas sem tratamento","OK"))</f>
        <v>Atenção – ligações ativas sem tratamento</v>
      </c>
      <c r="S42" s="13" t="str">
        <f>Controle_Oficios!G42</f>
        <v>Enviado – sem resposta</v>
      </c>
      <c r="T42" s="13" t="str">
        <f>Resultados!Q42</f>
        <v>Não avaliada – ausência de elementos suficientes para aplicação dos testes de controle</v>
      </c>
    </row>
    <row r="44" spans="1:20" ht="15" customHeight="1" x14ac:dyDescent="0.35">
      <c r="B44" s="7" t="s">
        <v>406</v>
      </c>
    </row>
    <row r="45" spans="1:20" ht="15" customHeight="1" x14ac:dyDescent="0.35">
      <c r="B45" s="24" t="s">
        <v>407</v>
      </c>
      <c r="C45" s="7">
        <f>COUNTIF(C3:C42,"Ausente")</f>
        <v>2</v>
      </c>
    </row>
    <row r="46" spans="1:20" ht="15" customHeight="1" x14ac:dyDescent="0.35">
      <c r="B46" s="24" t="s">
        <v>408</v>
      </c>
      <c r="C46" s="7">
        <f>COUNTIF(D3:D42,"Ausente")</f>
        <v>5</v>
      </c>
    </row>
    <row r="47" spans="1:20" ht="15" customHeight="1" x14ac:dyDescent="0.35">
      <c r="B47" s="24" t="s">
        <v>409</v>
      </c>
      <c r="C47" s="7">
        <f>SUMPRODUCT((C3:C42="Ausente")*(D3:D42="Ausente"))</f>
        <v>1</v>
      </c>
    </row>
    <row r="48" spans="1:20" ht="15" customHeight="1" x14ac:dyDescent="0.35">
      <c r="B48" s="24" t="s">
        <v>410</v>
      </c>
      <c r="C48" s="7">
        <f>COUNTIF(J3:J42,"Não")</f>
        <v>6</v>
      </c>
    </row>
    <row r="49" spans="2:3" ht="15" customHeight="1" x14ac:dyDescent="0.35">
      <c r="B49" s="24" t="s">
        <v>411</v>
      </c>
      <c r="C49" s="7">
        <f>COUNTIF(I3:I42,"Incoerente*")</f>
        <v>7</v>
      </c>
    </row>
    <row r="50" spans="2:3" ht="15" customHeight="1" x14ac:dyDescent="0.35">
      <c r="B50" s="24" t="s">
        <v>412</v>
      </c>
      <c r="C50" s="7">
        <f>SUMPRODUCT((LEFT(K3:K42,13)="Inconsistente")+(LEFT(L3:L42,13)="Inconsistente")+(LEFT(M3:M42,13)="Inconsistente")+(LEFT(N3:N42,13)="Inconsistente")&gt;0)</f>
        <v>0</v>
      </c>
    </row>
    <row r="51" spans="2:3" ht="15" customHeight="1" x14ac:dyDescent="0.35">
      <c r="B51" s="24" t="s">
        <v>354</v>
      </c>
      <c r="C51" s="7">
        <f>COUNTIF(T3:T42,"Não avaliada – informação primária indisponível")</f>
        <v>1</v>
      </c>
    </row>
    <row r="52" spans="2:3" ht="15" customHeight="1" x14ac:dyDescent="0.35">
      <c r="B52" s="24" t="s">
        <v>355</v>
      </c>
      <c r="C52" s="7">
        <f>COUNTIF(T3:T42,"Não avaliada – ausência de elementos suficientes para aplicação dos testes de controle")</f>
        <v>39</v>
      </c>
    </row>
    <row r="54" spans="2:3" ht="15" customHeight="1" x14ac:dyDescent="0.35">
      <c r="B54" s="9" t="s">
        <v>413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11"/>
  <sheetViews>
    <sheetView zoomScaleNormal="100" workbookViewId="0"/>
  </sheetViews>
  <sheetFormatPr defaultColWidth="8.6328125" defaultRowHeight="14.5" x14ac:dyDescent="0.35"/>
  <cols>
    <col min="1" max="1" width="3" customWidth="1"/>
    <col min="2" max="2" width="58" customWidth="1"/>
    <col min="3" max="3" width="22" customWidth="1"/>
    <col min="4" max="4" width="60" customWidth="1"/>
  </cols>
  <sheetData>
    <row r="2" spans="2:4" ht="17.25" customHeight="1" x14ac:dyDescent="0.4">
      <c r="B2" s="6" t="s">
        <v>41</v>
      </c>
    </row>
    <row r="4" spans="2:4" ht="15" customHeight="1" x14ac:dyDescent="0.35">
      <c r="B4" s="7" t="s">
        <v>42</v>
      </c>
      <c r="C4" s="8">
        <v>2024</v>
      </c>
      <c r="D4" s="9" t="s">
        <v>43</v>
      </c>
    </row>
    <row r="5" spans="2:4" ht="15" customHeight="1" x14ac:dyDescent="0.35">
      <c r="B5" s="7" t="s">
        <v>44</v>
      </c>
      <c r="C5" s="8" t="s">
        <v>45</v>
      </c>
      <c r="D5" s="9" t="s">
        <v>46</v>
      </c>
    </row>
    <row r="6" spans="2:4" ht="15" customHeight="1" x14ac:dyDescent="0.35">
      <c r="B6" s="7" t="s">
        <v>47</v>
      </c>
      <c r="C6" s="10">
        <v>0.99</v>
      </c>
      <c r="D6" s="9" t="s">
        <v>48</v>
      </c>
    </row>
    <row r="7" spans="2:4" ht="15" customHeight="1" x14ac:dyDescent="0.35">
      <c r="B7" s="7" t="s">
        <v>49</v>
      </c>
      <c r="C7" s="10">
        <v>0.9</v>
      </c>
      <c r="D7" s="9" t="s">
        <v>50</v>
      </c>
    </row>
    <row r="8" spans="2:4" ht="15" customHeight="1" x14ac:dyDescent="0.35">
      <c r="B8" s="7" t="s">
        <v>51</v>
      </c>
      <c r="C8" s="8" t="s">
        <v>52</v>
      </c>
      <c r="D8" s="9" t="s">
        <v>53</v>
      </c>
    </row>
    <row r="9" spans="2:4" ht="15" customHeight="1" x14ac:dyDescent="0.35">
      <c r="B9" s="7" t="s">
        <v>54</v>
      </c>
      <c r="C9" s="8" t="s">
        <v>55</v>
      </c>
      <c r="D9" s="9" t="s">
        <v>56</v>
      </c>
    </row>
    <row r="10" spans="2:4" ht="15" customHeight="1" x14ac:dyDescent="0.35">
      <c r="B10" s="7" t="s">
        <v>57</v>
      </c>
      <c r="C10" s="8" t="s">
        <v>58</v>
      </c>
      <c r="D10" s="9" t="s">
        <v>59</v>
      </c>
    </row>
    <row r="11" spans="2:4" ht="15" customHeight="1" x14ac:dyDescent="0.35">
      <c r="B11" s="7" t="s">
        <v>60</v>
      </c>
      <c r="C11" s="8">
        <v>40</v>
      </c>
      <c r="D11" s="9" t="s">
        <v>61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4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328125" defaultRowHeight="14.5" x14ac:dyDescent="0.35"/>
  <cols>
    <col min="1" max="1" width="10" customWidth="1"/>
    <col min="2" max="2" width="22" customWidth="1"/>
    <col min="3" max="3" width="26" customWidth="1"/>
    <col min="4" max="4" width="30" customWidth="1"/>
    <col min="5" max="28" width="13" customWidth="1"/>
    <col min="29" max="29" width="14" customWidth="1"/>
    <col min="30" max="31" width="22" customWidth="1"/>
  </cols>
  <sheetData>
    <row r="1" spans="1:31" ht="17.25" customHeight="1" x14ac:dyDescent="0.4">
      <c r="A1" s="6" t="s">
        <v>62</v>
      </c>
    </row>
    <row r="2" spans="1:31" ht="45.75" customHeight="1" x14ac:dyDescent="0.35">
      <c r="A2" s="11" t="s">
        <v>63</v>
      </c>
      <c r="B2" s="11" t="s">
        <v>64</v>
      </c>
      <c r="C2" s="11" t="s">
        <v>65</v>
      </c>
      <c r="D2" s="11" t="s">
        <v>66</v>
      </c>
      <c r="E2" s="11" t="s">
        <v>67</v>
      </c>
      <c r="F2" s="11" t="s">
        <v>68</v>
      </c>
      <c r="G2" s="11" t="s">
        <v>69</v>
      </c>
      <c r="H2" s="11" t="s">
        <v>70</v>
      </c>
      <c r="I2" s="11" t="s">
        <v>71</v>
      </c>
      <c r="J2" s="11" t="s">
        <v>72</v>
      </c>
      <c r="K2" s="11" t="s">
        <v>73</v>
      </c>
      <c r="L2" s="11" t="s">
        <v>74</v>
      </c>
      <c r="M2" s="11" t="s">
        <v>75</v>
      </c>
      <c r="N2" s="11" t="s">
        <v>76</v>
      </c>
      <c r="O2" s="11" t="s">
        <v>77</v>
      </c>
      <c r="P2" s="11" t="s">
        <v>78</v>
      </c>
      <c r="Q2" s="11" t="s">
        <v>79</v>
      </c>
      <c r="R2" s="11" t="s">
        <v>80</v>
      </c>
      <c r="S2" s="11" t="s">
        <v>81</v>
      </c>
      <c r="T2" s="11" t="s">
        <v>82</v>
      </c>
      <c r="U2" s="11" t="s">
        <v>83</v>
      </c>
      <c r="V2" s="11" t="s">
        <v>84</v>
      </c>
      <c r="W2" s="11" t="s">
        <v>85</v>
      </c>
      <c r="X2" s="11" t="s">
        <v>86</v>
      </c>
      <c r="Y2" s="11" t="s">
        <v>87</v>
      </c>
      <c r="Z2" s="11" t="s">
        <v>88</v>
      </c>
      <c r="AA2" s="11" t="s">
        <v>89</v>
      </c>
      <c r="AB2" s="11" t="s">
        <v>90</v>
      </c>
      <c r="AC2" s="11" t="s">
        <v>91</v>
      </c>
      <c r="AD2" s="11" t="s">
        <v>92</v>
      </c>
      <c r="AE2" s="11" t="s">
        <v>93</v>
      </c>
    </row>
    <row r="3" spans="1:31" ht="15" customHeight="1" x14ac:dyDescent="0.35">
      <c r="A3" s="12">
        <v>3100302</v>
      </c>
      <c r="B3" s="12" t="s">
        <v>94</v>
      </c>
      <c r="C3" s="13" t="s">
        <v>95</v>
      </c>
      <c r="D3" s="13" t="s">
        <v>96</v>
      </c>
      <c r="E3" s="13">
        <v>3215</v>
      </c>
      <c r="F3" s="13">
        <v>0</v>
      </c>
      <c r="G3" s="13">
        <v>3904</v>
      </c>
      <c r="H3" s="13">
        <v>0</v>
      </c>
      <c r="I3" s="13">
        <v>283</v>
      </c>
      <c r="J3" s="13">
        <v>0</v>
      </c>
      <c r="K3" s="13">
        <v>3472</v>
      </c>
      <c r="L3" s="13">
        <v>274</v>
      </c>
      <c r="M3" s="13">
        <v>793.73</v>
      </c>
      <c r="N3" s="13">
        <v>0</v>
      </c>
      <c r="O3" s="13">
        <v>0</v>
      </c>
      <c r="P3" s="13">
        <v>0</v>
      </c>
      <c r="Q3" s="13">
        <v>462.65</v>
      </c>
      <c r="R3" s="13">
        <v>793.73</v>
      </c>
      <c r="S3" s="13">
        <v>462.65</v>
      </c>
      <c r="T3" s="13">
        <v>793.73</v>
      </c>
      <c r="U3" s="13">
        <v>20</v>
      </c>
      <c r="V3" s="13">
        <v>3472</v>
      </c>
      <c r="W3" s="13">
        <v>120</v>
      </c>
      <c r="X3" s="13">
        <v>28</v>
      </c>
      <c r="Y3" s="13">
        <v>3472</v>
      </c>
      <c r="Z3" s="13">
        <v>168</v>
      </c>
      <c r="AA3" s="13">
        <v>100</v>
      </c>
      <c r="AB3" s="13">
        <v>79</v>
      </c>
      <c r="AC3" s="13">
        <f t="shared" ref="AC3:AC42" si="0">COUNTBLANK(E3:J3)</f>
        <v>0</v>
      </c>
      <c r="AD3" s="13" t="str">
        <f t="shared" ref="AD3:AD42" si="1">IF(AND(ISNUMBER(E3),ISNUMBER(G3)),IF(E3&gt;G3,"Inconsistente – residencial&gt;total","OK"),"n.a.")</f>
        <v>OK</v>
      </c>
      <c r="AE3" s="13" t="str">
        <f t="shared" ref="AE3:AE42" si="2">IF(AND(ISNUMBER(F3),ISNUMBER(H3)),IF(F3&gt;H3,"Inconsistente – residencial&gt;total","OK"),"n.a.")</f>
        <v>OK</v>
      </c>
    </row>
    <row r="4" spans="1:31" ht="15" customHeight="1" x14ac:dyDescent="0.35">
      <c r="A4" s="12">
        <v>3100401</v>
      </c>
      <c r="B4" s="12" t="s">
        <v>97</v>
      </c>
      <c r="C4" s="13" t="s">
        <v>95</v>
      </c>
      <c r="D4" s="13" t="s">
        <v>98</v>
      </c>
      <c r="E4" s="13">
        <v>1260</v>
      </c>
      <c r="F4" s="13">
        <v>725</v>
      </c>
      <c r="G4" s="13">
        <v>1339</v>
      </c>
      <c r="H4" s="13">
        <v>725</v>
      </c>
      <c r="I4" s="13">
        <v>4</v>
      </c>
      <c r="J4" s="13">
        <v>0</v>
      </c>
      <c r="K4" s="13">
        <v>1206</v>
      </c>
      <c r="L4" s="13">
        <v>4</v>
      </c>
      <c r="M4" s="13">
        <v>296.10000000000002</v>
      </c>
      <c r="N4" s="13">
        <v>0</v>
      </c>
      <c r="O4" s="13">
        <v>0</v>
      </c>
      <c r="P4" s="13">
        <v>0</v>
      </c>
      <c r="Q4" s="13">
        <v>283.97000000000003</v>
      </c>
      <c r="R4" s="13">
        <v>296.10000000000002</v>
      </c>
      <c r="S4" s="13">
        <v>0</v>
      </c>
      <c r="T4" s="13">
        <v>0</v>
      </c>
      <c r="U4" s="13">
        <v>16</v>
      </c>
      <c r="V4" s="13">
        <v>1339</v>
      </c>
      <c r="W4" s="13">
        <v>64</v>
      </c>
      <c r="X4" s="13">
        <v>16</v>
      </c>
      <c r="Y4" s="13">
        <v>640</v>
      </c>
      <c r="Z4" s="13">
        <v>22</v>
      </c>
      <c r="AA4" s="13">
        <v>38</v>
      </c>
      <c r="AB4" s="13">
        <v>18</v>
      </c>
      <c r="AC4" s="13">
        <f t="shared" si="0"/>
        <v>0</v>
      </c>
      <c r="AD4" s="13" t="str">
        <f t="shared" si="1"/>
        <v>OK</v>
      </c>
      <c r="AE4" s="13" t="str">
        <f t="shared" si="2"/>
        <v>OK</v>
      </c>
    </row>
    <row r="5" spans="1:31" ht="15" customHeight="1" x14ac:dyDescent="0.35">
      <c r="A5" s="12">
        <v>3101102</v>
      </c>
      <c r="B5" s="12" t="s">
        <v>99</v>
      </c>
      <c r="C5" s="13" t="s">
        <v>95</v>
      </c>
      <c r="D5" s="13" t="s">
        <v>96</v>
      </c>
      <c r="E5" s="13">
        <v>6379</v>
      </c>
      <c r="F5" s="13">
        <v>2546</v>
      </c>
      <c r="G5" s="13">
        <v>7087</v>
      </c>
      <c r="H5" s="13">
        <v>2702</v>
      </c>
      <c r="I5" s="13">
        <v>2419</v>
      </c>
      <c r="J5" s="13">
        <v>0</v>
      </c>
      <c r="K5" s="13">
        <v>9505</v>
      </c>
      <c r="L5" s="13">
        <v>2343</v>
      </c>
      <c r="M5" s="13">
        <v>2982.47</v>
      </c>
      <c r="N5" s="13">
        <v>0</v>
      </c>
      <c r="O5" s="13">
        <v>0</v>
      </c>
      <c r="P5" s="13">
        <v>328.78</v>
      </c>
      <c r="Q5" s="13">
        <v>2071.5700000000002</v>
      </c>
      <c r="R5" s="13">
        <v>2982.47</v>
      </c>
      <c r="S5" s="13">
        <v>2071.5700000000002</v>
      </c>
      <c r="T5" s="13">
        <v>0</v>
      </c>
      <c r="U5" s="13">
        <v>9</v>
      </c>
      <c r="V5" s="13">
        <v>5000</v>
      </c>
      <c r="W5" s="13">
        <v>72</v>
      </c>
      <c r="X5" s="13">
        <v>0</v>
      </c>
      <c r="Y5" s="13">
        <v>0</v>
      </c>
      <c r="Z5" s="13">
        <v>0</v>
      </c>
      <c r="AA5" s="13">
        <v>104</v>
      </c>
      <c r="AB5" s="13">
        <v>4</v>
      </c>
      <c r="AC5" s="13">
        <f t="shared" si="0"/>
        <v>0</v>
      </c>
      <c r="AD5" s="13" t="str">
        <f t="shared" si="1"/>
        <v>OK</v>
      </c>
      <c r="AE5" s="13" t="str">
        <f t="shared" si="2"/>
        <v>OK</v>
      </c>
    </row>
    <row r="6" spans="1:31" ht="15" customHeight="1" x14ac:dyDescent="0.35">
      <c r="A6" s="12">
        <v>3108701</v>
      </c>
      <c r="B6" s="12" t="s">
        <v>100</v>
      </c>
      <c r="C6" s="13" t="s">
        <v>95</v>
      </c>
      <c r="D6" s="13" t="s">
        <v>101</v>
      </c>
      <c r="E6" s="13">
        <v>1000</v>
      </c>
      <c r="F6" s="13">
        <v>0</v>
      </c>
      <c r="G6" s="13">
        <v>1073</v>
      </c>
      <c r="H6" s="13">
        <v>0</v>
      </c>
      <c r="I6" s="13">
        <v>0</v>
      </c>
      <c r="J6" s="13">
        <v>0</v>
      </c>
      <c r="K6" s="13">
        <v>1073</v>
      </c>
      <c r="L6" s="13">
        <v>0</v>
      </c>
      <c r="M6" s="13">
        <v>157.68</v>
      </c>
      <c r="N6" s="13">
        <v>0</v>
      </c>
      <c r="O6" s="13">
        <v>0</v>
      </c>
      <c r="P6" s="13">
        <v>0</v>
      </c>
      <c r="Q6" s="13">
        <v>121.76</v>
      </c>
      <c r="R6" s="13">
        <v>157.68</v>
      </c>
      <c r="S6" s="13">
        <v>0</v>
      </c>
      <c r="T6" s="13">
        <v>0</v>
      </c>
      <c r="U6" s="13">
        <v>5</v>
      </c>
      <c r="V6" s="13">
        <v>250</v>
      </c>
      <c r="W6" s="13">
        <v>390</v>
      </c>
      <c r="X6" s="13">
        <v>0</v>
      </c>
      <c r="Y6" s="13">
        <v>0</v>
      </c>
      <c r="Z6" s="13">
        <v>0</v>
      </c>
      <c r="AA6" s="13">
        <v>5</v>
      </c>
      <c r="AB6" s="13"/>
      <c r="AC6" s="13">
        <f t="shared" si="0"/>
        <v>0</v>
      </c>
      <c r="AD6" s="13" t="str">
        <f t="shared" si="1"/>
        <v>OK</v>
      </c>
      <c r="AE6" s="13" t="str">
        <f t="shared" si="2"/>
        <v>OK</v>
      </c>
    </row>
    <row r="7" spans="1:31" ht="15" customHeight="1" x14ac:dyDescent="0.35">
      <c r="A7" s="12">
        <v>3113107</v>
      </c>
      <c r="B7" s="12" t="s">
        <v>102</v>
      </c>
      <c r="C7" s="13" t="s">
        <v>95</v>
      </c>
      <c r="D7" s="13" t="s">
        <v>103</v>
      </c>
      <c r="E7" s="13">
        <v>646</v>
      </c>
      <c r="F7" s="13">
        <v>426</v>
      </c>
      <c r="G7" s="13">
        <v>646</v>
      </c>
      <c r="H7" s="13">
        <v>426</v>
      </c>
      <c r="I7" s="13">
        <v>10</v>
      </c>
      <c r="J7" s="13"/>
      <c r="K7" s="13">
        <v>768</v>
      </c>
      <c r="L7" s="13">
        <v>32</v>
      </c>
      <c r="M7" s="13">
        <v>143.22999999999999</v>
      </c>
      <c r="N7" s="13">
        <v>0</v>
      </c>
      <c r="O7" s="13">
        <v>0</v>
      </c>
      <c r="P7" s="13">
        <v>10</v>
      </c>
      <c r="Q7" s="13">
        <v>105.15</v>
      </c>
      <c r="R7" s="13">
        <v>143.22999999999999</v>
      </c>
      <c r="S7" s="13">
        <v>0</v>
      </c>
      <c r="T7" s="13">
        <v>0</v>
      </c>
      <c r="U7" s="13">
        <v>20</v>
      </c>
      <c r="V7" s="13">
        <v>711</v>
      </c>
      <c r="W7" s="13">
        <v>3</v>
      </c>
      <c r="X7" s="13">
        <v>20</v>
      </c>
      <c r="Y7" s="13">
        <v>711</v>
      </c>
      <c r="Z7" s="13">
        <v>5</v>
      </c>
      <c r="AA7" s="13">
        <v>7</v>
      </c>
      <c r="AB7" s="13"/>
      <c r="AC7" s="13">
        <f t="shared" si="0"/>
        <v>1</v>
      </c>
      <c r="AD7" s="13" t="str">
        <f t="shared" si="1"/>
        <v>OK</v>
      </c>
      <c r="AE7" s="13" t="str">
        <f t="shared" si="2"/>
        <v>OK</v>
      </c>
    </row>
    <row r="8" spans="1:31" ht="15" customHeight="1" x14ac:dyDescent="0.35">
      <c r="A8" s="12">
        <v>3113305</v>
      </c>
      <c r="B8" s="12" t="s">
        <v>104</v>
      </c>
      <c r="C8" s="13" t="s">
        <v>95</v>
      </c>
      <c r="D8" s="13" t="s">
        <v>105</v>
      </c>
      <c r="E8" s="13">
        <v>11663</v>
      </c>
      <c r="F8" s="13">
        <v>0</v>
      </c>
      <c r="G8" s="13">
        <v>13065</v>
      </c>
      <c r="H8" s="13">
        <v>0</v>
      </c>
      <c r="I8" s="13">
        <v>1626</v>
      </c>
      <c r="J8" s="13"/>
      <c r="K8" s="13">
        <v>10310</v>
      </c>
      <c r="L8" s="13">
        <v>1573</v>
      </c>
      <c r="M8" s="13">
        <v>3169.71</v>
      </c>
      <c r="N8" s="13">
        <v>0</v>
      </c>
      <c r="O8" s="13">
        <v>0</v>
      </c>
      <c r="P8" s="13">
        <v>121.53</v>
      </c>
      <c r="Q8" s="13">
        <v>1832.07</v>
      </c>
      <c r="R8" s="13">
        <v>3169.71</v>
      </c>
      <c r="S8" s="13">
        <v>1832.07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238</v>
      </c>
      <c r="AB8" s="13">
        <v>1132</v>
      </c>
      <c r="AC8" s="13">
        <f t="shared" si="0"/>
        <v>1</v>
      </c>
      <c r="AD8" s="13" t="str">
        <f t="shared" si="1"/>
        <v>OK</v>
      </c>
      <c r="AE8" s="13" t="str">
        <f t="shared" si="2"/>
        <v>OK</v>
      </c>
    </row>
    <row r="9" spans="1:31" ht="15" customHeight="1" x14ac:dyDescent="0.35">
      <c r="A9" s="14">
        <v>3116001</v>
      </c>
      <c r="B9" s="14" t="s">
        <v>106</v>
      </c>
      <c r="C9" s="15" t="s">
        <v>107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>
        <f t="shared" si="0"/>
        <v>6</v>
      </c>
      <c r="AD9" s="15" t="str">
        <f t="shared" si="1"/>
        <v>n.a.</v>
      </c>
      <c r="AE9" s="15" t="str">
        <f t="shared" si="2"/>
        <v>n.a.</v>
      </c>
    </row>
    <row r="10" spans="1:31" ht="15" customHeight="1" x14ac:dyDescent="0.35">
      <c r="A10" s="12">
        <v>3118403</v>
      </c>
      <c r="B10" s="12" t="s">
        <v>108</v>
      </c>
      <c r="C10" s="13" t="s">
        <v>95</v>
      </c>
      <c r="D10" s="13" t="s">
        <v>96</v>
      </c>
      <c r="E10" s="13">
        <v>7545</v>
      </c>
      <c r="F10" s="13">
        <v>194</v>
      </c>
      <c r="G10" s="13">
        <v>8374</v>
      </c>
      <c r="H10" s="13">
        <v>197</v>
      </c>
      <c r="I10" s="13"/>
      <c r="J10" s="13"/>
      <c r="K10" s="13">
        <v>8256</v>
      </c>
      <c r="L10" s="13">
        <v>1826</v>
      </c>
      <c r="M10" s="13">
        <v>1704</v>
      </c>
      <c r="N10" s="13">
        <v>0</v>
      </c>
      <c r="O10" s="13">
        <v>0</v>
      </c>
      <c r="P10" s="13">
        <v>40</v>
      </c>
      <c r="Q10" s="13">
        <v>1186</v>
      </c>
      <c r="R10" s="13">
        <v>1704</v>
      </c>
      <c r="S10" s="13">
        <v>1186</v>
      </c>
      <c r="T10" s="13">
        <v>1704</v>
      </c>
      <c r="U10" s="13">
        <v>5</v>
      </c>
      <c r="V10" s="13">
        <v>4580</v>
      </c>
      <c r="W10" s="13">
        <v>41</v>
      </c>
      <c r="X10" s="13">
        <v>0</v>
      </c>
      <c r="Y10" s="13">
        <v>0</v>
      </c>
      <c r="Z10" s="13">
        <v>0</v>
      </c>
      <c r="AA10" s="13">
        <v>229</v>
      </c>
      <c r="AB10" s="13">
        <v>304</v>
      </c>
      <c r="AC10" s="13">
        <f t="shared" si="0"/>
        <v>2</v>
      </c>
      <c r="AD10" s="13" t="str">
        <f t="shared" si="1"/>
        <v>OK</v>
      </c>
      <c r="AE10" s="13" t="str">
        <f t="shared" si="2"/>
        <v>OK</v>
      </c>
    </row>
    <row r="11" spans="1:31" ht="15" customHeight="1" x14ac:dyDescent="0.35">
      <c r="A11" s="12">
        <v>3127701</v>
      </c>
      <c r="B11" s="12" t="s">
        <v>109</v>
      </c>
      <c r="C11" s="13" t="s">
        <v>95</v>
      </c>
      <c r="D11" s="13" t="s">
        <v>110</v>
      </c>
      <c r="E11" s="13">
        <v>105916</v>
      </c>
      <c r="F11" s="13">
        <v>0</v>
      </c>
      <c r="G11" s="13">
        <v>123308</v>
      </c>
      <c r="H11" s="13">
        <v>0</v>
      </c>
      <c r="I11" s="13">
        <v>22917</v>
      </c>
      <c r="J11" s="13">
        <v>179</v>
      </c>
      <c r="K11" s="13">
        <v>94209</v>
      </c>
      <c r="L11" s="13">
        <v>19196</v>
      </c>
      <c r="M11" s="13">
        <v>34988.07</v>
      </c>
      <c r="N11" s="13">
        <v>0</v>
      </c>
      <c r="O11" s="13">
        <v>0</v>
      </c>
      <c r="P11" s="13">
        <v>781.55</v>
      </c>
      <c r="Q11" s="13">
        <v>15814.81</v>
      </c>
      <c r="R11" s="13">
        <v>34988.07</v>
      </c>
      <c r="S11" s="13">
        <v>15202.96</v>
      </c>
      <c r="T11" s="13">
        <v>26264.42</v>
      </c>
      <c r="U11" s="13">
        <v>200</v>
      </c>
      <c r="V11" s="13">
        <v>10842</v>
      </c>
      <c r="W11" s="13">
        <v>1505</v>
      </c>
      <c r="X11" s="13">
        <v>0</v>
      </c>
      <c r="Y11" s="13">
        <v>0</v>
      </c>
      <c r="Z11" s="13">
        <v>0</v>
      </c>
      <c r="AA11" s="13">
        <v>33953</v>
      </c>
      <c r="AB11" s="13">
        <v>1309</v>
      </c>
      <c r="AC11" s="13">
        <f t="shared" si="0"/>
        <v>0</v>
      </c>
      <c r="AD11" s="13" t="str">
        <f t="shared" si="1"/>
        <v>OK</v>
      </c>
      <c r="AE11" s="13" t="str">
        <f t="shared" si="2"/>
        <v>OK</v>
      </c>
    </row>
    <row r="12" spans="1:31" ht="15" customHeight="1" x14ac:dyDescent="0.35">
      <c r="A12" s="12">
        <v>3128402</v>
      </c>
      <c r="B12" s="12" t="s">
        <v>111</v>
      </c>
      <c r="C12" s="13" t="s">
        <v>95</v>
      </c>
      <c r="D12" s="13" t="s">
        <v>112</v>
      </c>
      <c r="E12" s="13">
        <v>2660</v>
      </c>
      <c r="F12" s="13">
        <v>0</v>
      </c>
      <c r="G12" s="13">
        <v>2660</v>
      </c>
      <c r="H12" s="13">
        <v>0</v>
      </c>
      <c r="I12" s="13">
        <v>608</v>
      </c>
      <c r="J12" s="13">
        <v>0</v>
      </c>
      <c r="K12" s="13">
        <v>2660</v>
      </c>
      <c r="L12" s="13">
        <v>608</v>
      </c>
      <c r="M12" s="13">
        <v>190</v>
      </c>
      <c r="N12" s="13">
        <v>0</v>
      </c>
      <c r="O12" s="13">
        <v>0</v>
      </c>
      <c r="P12" s="13">
        <v>0</v>
      </c>
      <c r="Q12" s="13">
        <v>180.12</v>
      </c>
      <c r="R12" s="13">
        <v>190</v>
      </c>
      <c r="S12" s="13">
        <v>0</v>
      </c>
      <c r="T12" s="13">
        <v>0</v>
      </c>
      <c r="U12" s="13">
        <v>30</v>
      </c>
      <c r="V12" s="13">
        <v>600</v>
      </c>
      <c r="W12" s="13">
        <v>12</v>
      </c>
      <c r="X12" s="13">
        <v>3</v>
      </c>
      <c r="Y12" s="13">
        <v>600</v>
      </c>
      <c r="Z12" s="13">
        <v>12</v>
      </c>
      <c r="AA12" s="13">
        <v>300</v>
      </c>
      <c r="AB12" s="13">
        <v>30</v>
      </c>
      <c r="AC12" s="13">
        <f t="shared" si="0"/>
        <v>0</v>
      </c>
      <c r="AD12" s="13" t="str">
        <f t="shared" si="1"/>
        <v>OK</v>
      </c>
      <c r="AE12" s="13" t="str">
        <f t="shared" si="2"/>
        <v>OK</v>
      </c>
    </row>
    <row r="13" spans="1:31" ht="15" customHeight="1" x14ac:dyDescent="0.35">
      <c r="A13" s="12">
        <v>3131208</v>
      </c>
      <c r="B13" s="12" t="s">
        <v>113</v>
      </c>
      <c r="C13" s="13" t="s">
        <v>95</v>
      </c>
      <c r="D13" s="13" t="s">
        <v>96</v>
      </c>
      <c r="E13" s="13">
        <v>7469</v>
      </c>
      <c r="F13" s="13">
        <v>0</v>
      </c>
      <c r="G13" s="13">
        <v>7832</v>
      </c>
      <c r="H13" s="13">
        <v>0</v>
      </c>
      <c r="I13" s="13">
        <v>1355</v>
      </c>
      <c r="J13" s="13">
        <v>0</v>
      </c>
      <c r="K13" s="13">
        <v>7757</v>
      </c>
      <c r="L13" s="13">
        <v>1285</v>
      </c>
      <c r="M13" s="13">
        <v>1412</v>
      </c>
      <c r="N13" s="13">
        <v>0</v>
      </c>
      <c r="O13" s="13">
        <v>0</v>
      </c>
      <c r="P13" s="13">
        <v>5.8</v>
      </c>
      <c r="Q13" s="13">
        <v>1040.6600000000001</v>
      </c>
      <c r="R13" s="13">
        <v>1412</v>
      </c>
      <c r="S13" s="13">
        <v>1034.7</v>
      </c>
      <c r="T13" s="13">
        <v>0</v>
      </c>
      <c r="U13" s="13">
        <v>2</v>
      </c>
      <c r="V13" s="13">
        <v>5000</v>
      </c>
      <c r="W13" s="13">
        <v>17</v>
      </c>
      <c r="X13" s="13">
        <v>0</v>
      </c>
      <c r="Y13" s="13">
        <v>0</v>
      </c>
      <c r="Z13" s="13">
        <v>0</v>
      </c>
      <c r="AA13" s="13">
        <v>72</v>
      </c>
      <c r="AB13" s="13">
        <v>358</v>
      </c>
      <c r="AC13" s="13">
        <f t="shared" si="0"/>
        <v>0</v>
      </c>
      <c r="AD13" s="13" t="str">
        <f t="shared" si="1"/>
        <v>OK</v>
      </c>
      <c r="AE13" s="13" t="str">
        <f t="shared" si="2"/>
        <v>OK</v>
      </c>
    </row>
    <row r="14" spans="1:31" ht="15" customHeight="1" x14ac:dyDescent="0.35">
      <c r="A14" s="12">
        <v>3132701</v>
      </c>
      <c r="B14" s="12" t="s">
        <v>114</v>
      </c>
      <c r="C14" s="13" t="s">
        <v>95</v>
      </c>
      <c r="D14" s="13" t="s">
        <v>96</v>
      </c>
      <c r="E14" s="13">
        <v>5740</v>
      </c>
      <c r="F14" s="13">
        <v>657</v>
      </c>
      <c r="G14" s="13">
        <v>6121</v>
      </c>
      <c r="H14" s="13">
        <v>680</v>
      </c>
      <c r="I14" s="13">
        <v>1202</v>
      </c>
      <c r="J14" s="13">
        <v>0</v>
      </c>
      <c r="K14" s="13">
        <v>6035</v>
      </c>
      <c r="L14" s="13">
        <v>1366</v>
      </c>
      <c r="M14" s="13">
        <v>2619</v>
      </c>
      <c r="N14" s="13">
        <v>0</v>
      </c>
      <c r="O14" s="13">
        <v>0</v>
      </c>
      <c r="P14" s="13">
        <v>0</v>
      </c>
      <c r="Q14" s="13">
        <v>500</v>
      </c>
      <c r="R14" s="13">
        <v>2619</v>
      </c>
      <c r="S14" s="13">
        <v>0</v>
      </c>
      <c r="T14" s="13">
        <v>0</v>
      </c>
      <c r="U14" s="13">
        <v>0</v>
      </c>
      <c r="V14" s="13">
        <v>0</v>
      </c>
      <c r="W14" s="13">
        <v>750</v>
      </c>
      <c r="X14" s="13">
        <v>0</v>
      </c>
      <c r="Y14" s="13">
        <v>0</v>
      </c>
      <c r="Z14" s="13">
        <v>300</v>
      </c>
      <c r="AA14" s="13">
        <v>150</v>
      </c>
      <c r="AB14" s="13">
        <v>1637</v>
      </c>
      <c r="AC14" s="13">
        <f t="shared" si="0"/>
        <v>0</v>
      </c>
      <c r="AD14" s="13" t="str">
        <f t="shared" si="1"/>
        <v>OK</v>
      </c>
      <c r="AE14" s="13" t="str">
        <f t="shared" si="2"/>
        <v>OK</v>
      </c>
    </row>
    <row r="15" spans="1:31" ht="15" customHeight="1" x14ac:dyDescent="0.35">
      <c r="A15" s="12">
        <v>3135076</v>
      </c>
      <c r="B15" s="12" t="s">
        <v>115</v>
      </c>
      <c r="C15" s="13" t="s">
        <v>95</v>
      </c>
      <c r="D15" s="13" t="s">
        <v>116</v>
      </c>
      <c r="E15" s="13">
        <v>1034</v>
      </c>
      <c r="F15" s="13">
        <v>0</v>
      </c>
      <c r="G15" s="13">
        <v>1034</v>
      </c>
      <c r="H15" s="13">
        <v>0</v>
      </c>
      <c r="I15" s="13">
        <v>42</v>
      </c>
      <c r="J15" s="13">
        <v>0</v>
      </c>
      <c r="K15" s="13">
        <v>1020</v>
      </c>
      <c r="L15" s="13">
        <v>255</v>
      </c>
      <c r="M15" s="13">
        <v>171.98</v>
      </c>
      <c r="N15" s="13">
        <v>0</v>
      </c>
      <c r="O15" s="13">
        <v>0</v>
      </c>
      <c r="P15" s="13">
        <v>4</v>
      </c>
      <c r="Q15" s="13">
        <v>137.88999999999999</v>
      </c>
      <c r="R15" s="13">
        <v>171.98</v>
      </c>
      <c r="S15" s="13">
        <v>136.69</v>
      </c>
      <c r="T15" s="13">
        <v>171.98</v>
      </c>
      <c r="U15" s="13">
        <v>12</v>
      </c>
      <c r="V15" s="13">
        <v>1034</v>
      </c>
      <c r="W15" s="13">
        <v>75</v>
      </c>
      <c r="X15" s="13">
        <v>2</v>
      </c>
      <c r="Y15" s="13">
        <v>1034</v>
      </c>
      <c r="Z15" s="13">
        <v>15</v>
      </c>
      <c r="AA15" s="13">
        <v>150</v>
      </c>
      <c r="AB15" s="13"/>
      <c r="AC15" s="13">
        <f t="shared" si="0"/>
        <v>0</v>
      </c>
      <c r="AD15" s="13" t="str">
        <f t="shared" si="1"/>
        <v>OK</v>
      </c>
      <c r="AE15" s="13" t="str">
        <f t="shared" si="2"/>
        <v>OK</v>
      </c>
    </row>
    <row r="16" spans="1:31" ht="15" customHeight="1" x14ac:dyDescent="0.35">
      <c r="A16" s="12">
        <v>3135407</v>
      </c>
      <c r="B16" s="12" t="s">
        <v>117</v>
      </c>
      <c r="C16" s="13" t="s">
        <v>95</v>
      </c>
      <c r="D16" s="13" t="s">
        <v>118</v>
      </c>
      <c r="E16" s="13">
        <v>1805</v>
      </c>
      <c r="F16" s="13">
        <v>1397</v>
      </c>
      <c r="G16" s="13">
        <v>2095</v>
      </c>
      <c r="H16" s="13">
        <v>1397</v>
      </c>
      <c r="I16" s="13">
        <v>182</v>
      </c>
      <c r="J16" s="13">
        <v>0</v>
      </c>
      <c r="K16" s="13">
        <v>1805</v>
      </c>
      <c r="L16" s="13">
        <v>182</v>
      </c>
      <c r="M16" s="13">
        <v>586.29999999999995</v>
      </c>
      <c r="N16" s="13">
        <v>0</v>
      </c>
      <c r="O16" s="13">
        <v>0</v>
      </c>
      <c r="P16" s="13">
        <v>0</v>
      </c>
      <c r="Q16" s="13">
        <v>467.66</v>
      </c>
      <c r="R16" s="13">
        <v>586.29999999999995</v>
      </c>
      <c r="S16" s="13">
        <v>362.3</v>
      </c>
      <c r="T16" s="13">
        <v>0</v>
      </c>
      <c r="U16" s="13">
        <v>12</v>
      </c>
      <c r="V16" s="13">
        <v>25140</v>
      </c>
      <c r="W16" s="13">
        <v>144</v>
      </c>
      <c r="X16" s="13">
        <v>0</v>
      </c>
      <c r="Y16" s="13">
        <v>0</v>
      </c>
      <c r="Z16" s="13">
        <v>0</v>
      </c>
      <c r="AA16" s="13">
        <v>36</v>
      </c>
      <c r="AB16" s="13"/>
      <c r="AC16" s="13">
        <f t="shared" si="0"/>
        <v>0</v>
      </c>
      <c r="AD16" s="13" t="str">
        <f t="shared" si="1"/>
        <v>OK</v>
      </c>
      <c r="AE16" s="13" t="str">
        <f t="shared" si="2"/>
        <v>OK</v>
      </c>
    </row>
    <row r="17" spans="1:31" ht="15" customHeight="1" x14ac:dyDescent="0.35">
      <c r="A17" s="12">
        <v>3135506</v>
      </c>
      <c r="B17" s="12" t="s">
        <v>119</v>
      </c>
      <c r="C17" s="13" t="s">
        <v>95</v>
      </c>
      <c r="D17" s="13" t="s">
        <v>120</v>
      </c>
      <c r="E17" s="13">
        <v>2442</v>
      </c>
      <c r="F17" s="13">
        <v>2200</v>
      </c>
      <c r="G17" s="13">
        <v>2550</v>
      </c>
      <c r="H17" s="13">
        <v>2200</v>
      </c>
      <c r="I17" s="13">
        <v>122</v>
      </c>
      <c r="J17" s="13">
        <v>116</v>
      </c>
      <c r="K17" s="13">
        <v>2550</v>
      </c>
      <c r="L17" s="13">
        <v>301</v>
      </c>
      <c r="M17" s="13">
        <v>595.94000000000005</v>
      </c>
      <c r="N17" s="13">
        <v>0</v>
      </c>
      <c r="O17" s="13">
        <v>0</v>
      </c>
      <c r="P17" s="13">
        <v>55</v>
      </c>
      <c r="Q17" s="13">
        <v>375</v>
      </c>
      <c r="R17" s="13">
        <v>595.94000000000005</v>
      </c>
      <c r="S17" s="13">
        <v>0.52</v>
      </c>
      <c r="T17" s="13">
        <v>595.94000000000005</v>
      </c>
      <c r="U17" s="13">
        <v>0</v>
      </c>
      <c r="V17" s="13">
        <v>0</v>
      </c>
      <c r="W17" s="13">
        <v>7</v>
      </c>
      <c r="X17" s="13">
        <v>0</v>
      </c>
      <c r="Y17" s="13">
        <v>0</v>
      </c>
      <c r="Z17" s="13">
        <v>3</v>
      </c>
      <c r="AA17" s="13">
        <v>42</v>
      </c>
      <c r="AB17" s="13">
        <v>46</v>
      </c>
      <c r="AC17" s="13">
        <f t="shared" si="0"/>
        <v>0</v>
      </c>
      <c r="AD17" s="13" t="str">
        <f t="shared" si="1"/>
        <v>OK</v>
      </c>
      <c r="AE17" s="13" t="str">
        <f t="shared" si="2"/>
        <v>OK</v>
      </c>
    </row>
    <row r="18" spans="1:31" ht="15" customHeight="1" x14ac:dyDescent="0.35">
      <c r="A18" s="12">
        <v>3137700</v>
      </c>
      <c r="B18" s="12" t="s">
        <v>121</v>
      </c>
      <c r="C18" s="13" t="s">
        <v>95</v>
      </c>
      <c r="D18" s="13" t="s">
        <v>96</v>
      </c>
      <c r="E18" s="13">
        <v>3626</v>
      </c>
      <c r="F18" s="13">
        <v>0</v>
      </c>
      <c r="G18" s="13">
        <v>3929</v>
      </c>
      <c r="H18" s="13">
        <v>0</v>
      </c>
      <c r="I18" s="13"/>
      <c r="J18" s="13">
        <v>0</v>
      </c>
      <c r="K18" s="13">
        <v>3380</v>
      </c>
      <c r="L18" s="13">
        <v>468</v>
      </c>
      <c r="M18" s="13">
        <v>1028</v>
      </c>
      <c r="N18" s="13">
        <v>0</v>
      </c>
      <c r="O18" s="13">
        <v>0</v>
      </c>
      <c r="P18" s="13">
        <v>106.6</v>
      </c>
      <c r="Q18" s="13">
        <v>634.52</v>
      </c>
      <c r="R18" s="13">
        <v>1028</v>
      </c>
      <c r="S18" s="13">
        <v>631.79</v>
      </c>
      <c r="T18" s="13">
        <v>0</v>
      </c>
      <c r="U18" s="13">
        <v>5</v>
      </c>
      <c r="V18" s="13">
        <v>150</v>
      </c>
      <c r="W18" s="13">
        <v>150</v>
      </c>
      <c r="X18" s="13">
        <v>5</v>
      </c>
      <c r="Y18" s="13">
        <v>150</v>
      </c>
      <c r="Z18" s="13">
        <v>100</v>
      </c>
      <c r="AA18" s="13">
        <v>203</v>
      </c>
      <c r="AB18" s="13">
        <v>144</v>
      </c>
      <c r="AC18" s="13">
        <f t="shared" si="0"/>
        <v>1</v>
      </c>
      <c r="AD18" s="13" t="str">
        <f t="shared" si="1"/>
        <v>OK</v>
      </c>
      <c r="AE18" s="13" t="str">
        <f t="shared" si="2"/>
        <v>OK</v>
      </c>
    </row>
    <row r="19" spans="1:31" ht="15" customHeight="1" x14ac:dyDescent="0.35">
      <c r="A19" s="12">
        <v>3138609</v>
      </c>
      <c r="B19" s="12" t="s">
        <v>122</v>
      </c>
      <c r="C19" s="13" t="s">
        <v>95</v>
      </c>
      <c r="D19" s="13" t="s">
        <v>120</v>
      </c>
      <c r="E19" s="13">
        <v>6690</v>
      </c>
      <c r="F19" s="13">
        <v>200</v>
      </c>
      <c r="G19" s="13">
        <v>7379</v>
      </c>
      <c r="H19" s="13">
        <v>250</v>
      </c>
      <c r="I19" s="13">
        <v>980</v>
      </c>
      <c r="J19" s="13">
        <v>100</v>
      </c>
      <c r="K19" s="13">
        <v>7379</v>
      </c>
      <c r="L19" s="13">
        <v>819</v>
      </c>
      <c r="M19" s="13">
        <v>1049</v>
      </c>
      <c r="N19" s="13">
        <v>0</v>
      </c>
      <c r="O19" s="13">
        <v>0</v>
      </c>
      <c r="P19" s="13">
        <v>1</v>
      </c>
      <c r="Q19" s="13">
        <v>807.3</v>
      </c>
      <c r="R19" s="13">
        <v>1049</v>
      </c>
      <c r="S19" s="13">
        <v>807.3</v>
      </c>
      <c r="T19" s="13">
        <v>0</v>
      </c>
      <c r="U19" s="13">
        <v>6</v>
      </c>
      <c r="V19" s="13">
        <v>18000</v>
      </c>
      <c r="W19" s="13">
        <v>48</v>
      </c>
      <c r="X19" s="13">
        <v>12</v>
      </c>
      <c r="Y19" s="13">
        <v>18000</v>
      </c>
      <c r="Z19" s="13">
        <v>72</v>
      </c>
      <c r="AA19" s="13">
        <v>371</v>
      </c>
      <c r="AB19" s="13"/>
      <c r="AC19" s="13">
        <f t="shared" si="0"/>
        <v>0</v>
      </c>
      <c r="AD19" s="13" t="str">
        <f t="shared" si="1"/>
        <v>OK</v>
      </c>
      <c r="AE19" s="13" t="str">
        <f t="shared" si="2"/>
        <v>OK</v>
      </c>
    </row>
    <row r="20" spans="1:31" ht="15" customHeight="1" x14ac:dyDescent="0.35">
      <c r="A20" s="12">
        <v>3139409</v>
      </c>
      <c r="B20" s="12" t="s">
        <v>123</v>
      </c>
      <c r="C20" s="13" t="s">
        <v>95</v>
      </c>
      <c r="D20" s="13" t="s">
        <v>124</v>
      </c>
      <c r="E20" s="13">
        <v>25666</v>
      </c>
      <c r="F20" s="13">
        <v>2549</v>
      </c>
      <c r="G20" s="13">
        <v>25666</v>
      </c>
      <c r="H20" s="13">
        <v>2549</v>
      </c>
      <c r="I20" s="13">
        <v>41</v>
      </c>
      <c r="J20" s="13"/>
      <c r="K20" s="13">
        <v>18076</v>
      </c>
      <c r="L20" s="13">
        <v>112</v>
      </c>
      <c r="M20" s="13">
        <v>5909.76</v>
      </c>
      <c r="N20" s="13">
        <v>0</v>
      </c>
      <c r="O20" s="13">
        <v>0</v>
      </c>
      <c r="P20" s="13">
        <v>119.4</v>
      </c>
      <c r="Q20" s="13">
        <v>3918.53</v>
      </c>
      <c r="R20" s="13">
        <v>5909.76</v>
      </c>
      <c r="S20" s="13">
        <v>3918.53</v>
      </c>
      <c r="T20" s="13">
        <v>111</v>
      </c>
      <c r="U20" s="13">
        <v>20</v>
      </c>
      <c r="V20" s="13">
        <v>4500</v>
      </c>
      <c r="W20" s="13">
        <v>5004</v>
      </c>
      <c r="X20" s="13">
        <v>0</v>
      </c>
      <c r="Y20" s="13">
        <v>0</v>
      </c>
      <c r="Z20" s="13">
        <v>0</v>
      </c>
      <c r="AA20" s="13">
        <v>350</v>
      </c>
      <c r="AB20" s="13"/>
      <c r="AC20" s="13">
        <f t="shared" si="0"/>
        <v>1</v>
      </c>
      <c r="AD20" s="13" t="str">
        <f t="shared" si="1"/>
        <v>OK</v>
      </c>
      <c r="AE20" s="13" t="str">
        <f t="shared" si="2"/>
        <v>OK</v>
      </c>
    </row>
    <row r="21" spans="1:31" ht="15" customHeight="1" x14ac:dyDescent="0.35">
      <c r="A21" s="12">
        <v>3139508</v>
      </c>
      <c r="B21" s="12" t="s">
        <v>125</v>
      </c>
      <c r="C21" s="13" t="s">
        <v>95</v>
      </c>
      <c r="D21" s="13" t="s">
        <v>96</v>
      </c>
      <c r="E21" s="13">
        <v>6209</v>
      </c>
      <c r="F21" s="13">
        <v>473</v>
      </c>
      <c r="G21" s="13">
        <v>7737</v>
      </c>
      <c r="H21" s="13">
        <v>473</v>
      </c>
      <c r="I21" s="13"/>
      <c r="J21" s="13"/>
      <c r="K21" s="13">
        <v>7085</v>
      </c>
      <c r="L21" s="13">
        <v>237</v>
      </c>
      <c r="M21" s="13">
        <v>1345.5</v>
      </c>
      <c r="N21" s="13">
        <v>0</v>
      </c>
      <c r="O21" s="13">
        <v>0</v>
      </c>
      <c r="P21" s="13">
        <v>2.54</v>
      </c>
      <c r="Q21" s="13">
        <v>934.45</v>
      </c>
      <c r="R21" s="13">
        <v>1345.5</v>
      </c>
      <c r="S21" s="13">
        <v>934.45</v>
      </c>
      <c r="T21" s="13">
        <v>0</v>
      </c>
      <c r="U21" s="13">
        <v>3</v>
      </c>
      <c r="V21" s="13">
        <v>7087</v>
      </c>
      <c r="W21" s="13">
        <v>21</v>
      </c>
      <c r="X21" s="13">
        <v>1</v>
      </c>
      <c r="Y21" s="13">
        <v>7087</v>
      </c>
      <c r="Z21" s="13">
        <v>7</v>
      </c>
      <c r="AA21" s="13">
        <v>194</v>
      </c>
      <c r="AB21" s="13">
        <v>362</v>
      </c>
      <c r="AC21" s="13">
        <f t="shared" si="0"/>
        <v>2</v>
      </c>
      <c r="AD21" s="13" t="str">
        <f t="shared" si="1"/>
        <v>OK</v>
      </c>
      <c r="AE21" s="13" t="str">
        <f t="shared" si="2"/>
        <v>OK</v>
      </c>
    </row>
    <row r="22" spans="1:31" ht="15" customHeight="1" x14ac:dyDescent="0.35">
      <c r="A22" s="12">
        <v>3139607</v>
      </c>
      <c r="B22" s="12" t="s">
        <v>126</v>
      </c>
      <c r="C22" s="13" t="s">
        <v>95</v>
      </c>
      <c r="D22" s="13" t="s">
        <v>96</v>
      </c>
      <c r="E22" s="13">
        <v>8752</v>
      </c>
      <c r="F22" s="13">
        <v>98</v>
      </c>
      <c r="G22" s="13">
        <v>9988</v>
      </c>
      <c r="H22" s="13">
        <v>111</v>
      </c>
      <c r="I22" s="13">
        <v>1888</v>
      </c>
      <c r="J22" s="13">
        <v>91</v>
      </c>
      <c r="K22" s="13">
        <v>9998</v>
      </c>
      <c r="L22" s="13">
        <v>1688</v>
      </c>
      <c r="M22" s="13">
        <v>2706</v>
      </c>
      <c r="N22" s="13">
        <v>0</v>
      </c>
      <c r="O22" s="13">
        <v>0</v>
      </c>
      <c r="P22" s="13">
        <v>149.4</v>
      </c>
      <c r="Q22" s="13">
        <v>1933.36</v>
      </c>
      <c r="R22" s="13">
        <v>2706</v>
      </c>
      <c r="S22" s="13">
        <v>1933.35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48</v>
      </c>
      <c r="AB22" s="13">
        <v>650</v>
      </c>
      <c r="AC22" s="13">
        <f t="shared" si="0"/>
        <v>0</v>
      </c>
      <c r="AD22" s="13" t="str">
        <f t="shared" si="1"/>
        <v>OK</v>
      </c>
      <c r="AE22" s="13" t="str">
        <f t="shared" si="2"/>
        <v>OK</v>
      </c>
    </row>
    <row r="23" spans="1:31" ht="15" customHeight="1" x14ac:dyDescent="0.35">
      <c r="A23" s="12">
        <v>3140001</v>
      </c>
      <c r="B23" s="12" t="s">
        <v>127</v>
      </c>
      <c r="C23" s="13" t="s">
        <v>95</v>
      </c>
      <c r="D23" s="13" t="s">
        <v>128</v>
      </c>
      <c r="E23" s="13">
        <v>16952</v>
      </c>
      <c r="F23" s="13">
        <v>2557</v>
      </c>
      <c r="G23" s="13">
        <v>18756</v>
      </c>
      <c r="H23" s="13">
        <v>2729</v>
      </c>
      <c r="I23" s="13">
        <v>2453</v>
      </c>
      <c r="J23" s="13">
        <v>91</v>
      </c>
      <c r="K23" s="13">
        <v>20695</v>
      </c>
      <c r="L23" s="13">
        <v>2285</v>
      </c>
      <c r="M23" s="13">
        <v>6848.42</v>
      </c>
      <c r="N23" s="13">
        <v>0</v>
      </c>
      <c r="O23" s="13">
        <v>0</v>
      </c>
      <c r="P23" s="13">
        <v>893.7</v>
      </c>
      <c r="Q23" s="13">
        <v>4484</v>
      </c>
      <c r="R23" s="13">
        <v>6848.42</v>
      </c>
      <c r="S23" s="13">
        <v>1060.68</v>
      </c>
      <c r="T23" s="13">
        <v>3474.07</v>
      </c>
      <c r="U23" s="13">
        <v>803</v>
      </c>
      <c r="V23" s="13">
        <v>22767</v>
      </c>
      <c r="W23" s="13">
        <v>4818</v>
      </c>
      <c r="X23" s="13">
        <v>0</v>
      </c>
      <c r="Y23" s="13">
        <v>0</v>
      </c>
      <c r="Z23" s="13">
        <v>0</v>
      </c>
      <c r="AA23" s="13">
        <v>2703</v>
      </c>
      <c r="AB23" s="13">
        <v>652</v>
      </c>
      <c r="AC23" s="13">
        <f t="shared" si="0"/>
        <v>0</v>
      </c>
      <c r="AD23" s="13" t="str">
        <f t="shared" si="1"/>
        <v>OK</v>
      </c>
      <c r="AE23" s="13" t="str">
        <f t="shared" si="2"/>
        <v>OK</v>
      </c>
    </row>
    <row r="24" spans="1:31" ht="15" customHeight="1" x14ac:dyDescent="0.35">
      <c r="A24" s="12">
        <v>3143906</v>
      </c>
      <c r="B24" s="12" t="s">
        <v>129</v>
      </c>
      <c r="C24" s="13" t="s">
        <v>95</v>
      </c>
      <c r="D24" s="13" t="s">
        <v>130</v>
      </c>
      <c r="E24" s="13">
        <v>40860</v>
      </c>
      <c r="F24" s="13">
        <v>0</v>
      </c>
      <c r="G24" s="13">
        <v>45504</v>
      </c>
      <c r="H24" s="13">
        <v>0</v>
      </c>
      <c r="I24" s="13">
        <v>7390</v>
      </c>
      <c r="J24" s="13">
        <v>0</v>
      </c>
      <c r="K24" s="13">
        <v>39113</v>
      </c>
      <c r="L24" s="13">
        <v>7179</v>
      </c>
      <c r="M24" s="13">
        <v>9791.3799999999992</v>
      </c>
      <c r="N24" s="13">
        <v>0</v>
      </c>
      <c r="O24" s="13">
        <v>0</v>
      </c>
      <c r="P24" s="13">
        <v>9.4600000000000009</v>
      </c>
      <c r="Q24" s="13">
        <v>6268.7</v>
      </c>
      <c r="R24" s="13">
        <v>9791.3799999999992</v>
      </c>
      <c r="S24" s="13">
        <v>6268.7</v>
      </c>
      <c r="T24" s="13">
        <v>44.62</v>
      </c>
      <c r="U24" s="13">
        <v>15</v>
      </c>
      <c r="V24" s="13">
        <v>116370</v>
      </c>
      <c r="W24" s="13">
        <v>105</v>
      </c>
      <c r="X24" s="13">
        <v>0</v>
      </c>
      <c r="Y24" s="13">
        <v>0</v>
      </c>
      <c r="Z24" s="13">
        <v>0</v>
      </c>
      <c r="AA24" s="13">
        <v>338</v>
      </c>
      <c r="AB24" s="13">
        <v>5140</v>
      </c>
      <c r="AC24" s="13">
        <f t="shared" si="0"/>
        <v>0</v>
      </c>
      <c r="AD24" s="13" t="str">
        <f t="shared" si="1"/>
        <v>OK</v>
      </c>
      <c r="AE24" s="13" t="str">
        <f t="shared" si="2"/>
        <v>OK</v>
      </c>
    </row>
    <row r="25" spans="1:31" ht="15" customHeight="1" x14ac:dyDescent="0.35">
      <c r="A25" s="14">
        <v>3145851</v>
      </c>
      <c r="B25" s="14" t="s">
        <v>131</v>
      </c>
      <c r="C25" s="15" t="s">
        <v>107</v>
      </c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>
        <f t="shared" si="0"/>
        <v>6</v>
      </c>
      <c r="AD25" s="15" t="str">
        <f t="shared" si="1"/>
        <v>n.a.</v>
      </c>
      <c r="AE25" s="15" t="str">
        <f t="shared" si="2"/>
        <v>n.a.</v>
      </c>
    </row>
    <row r="26" spans="1:31" ht="15" customHeight="1" x14ac:dyDescent="0.35">
      <c r="A26" s="12">
        <v>3150604</v>
      </c>
      <c r="B26" s="12" t="s">
        <v>132</v>
      </c>
      <c r="C26" s="13" t="s">
        <v>95</v>
      </c>
      <c r="D26" s="13" t="s">
        <v>133</v>
      </c>
      <c r="E26" s="13">
        <v>1999</v>
      </c>
      <c r="F26" s="13">
        <v>480</v>
      </c>
      <c r="G26" s="13">
        <v>2263</v>
      </c>
      <c r="H26" s="13">
        <v>500</v>
      </c>
      <c r="I26" s="13">
        <v>74</v>
      </c>
      <c r="J26" s="13"/>
      <c r="K26" s="13">
        <v>2117</v>
      </c>
      <c r="L26" s="13">
        <v>74</v>
      </c>
      <c r="M26" s="13">
        <v>334.36</v>
      </c>
      <c r="N26" s="13">
        <v>0</v>
      </c>
      <c r="O26" s="13">
        <v>0</v>
      </c>
      <c r="P26" s="13">
        <v>1</v>
      </c>
      <c r="Q26" s="13">
        <v>300.92</v>
      </c>
      <c r="R26" s="13">
        <v>334.36</v>
      </c>
      <c r="S26" s="13">
        <v>270.83</v>
      </c>
      <c r="T26" s="13">
        <v>0</v>
      </c>
      <c r="U26" s="13">
        <v>10</v>
      </c>
      <c r="V26" s="13">
        <v>200</v>
      </c>
      <c r="W26" s="13">
        <v>70</v>
      </c>
      <c r="X26" s="13">
        <v>0</v>
      </c>
      <c r="Y26" s="13">
        <v>0</v>
      </c>
      <c r="Z26" s="13">
        <v>0</v>
      </c>
      <c r="AA26" s="13">
        <v>100</v>
      </c>
      <c r="AB26" s="13"/>
      <c r="AC26" s="13">
        <f t="shared" si="0"/>
        <v>1</v>
      </c>
      <c r="AD26" s="13" t="str">
        <f t="shared" si="1"/>
        <v>OK</v>
      </c>
      <c r="AE26" s="13" t="str">
        <f t="shared" si="2"/>
        <v>OK</v>
      </c>
    </row>
    <row r="27" spans="1:31" ht="15" customHeight="1" x14ac:dyDescent="0.35">
      <c r="A27" s="12">
        <v>3151909</v>
      </c>
      <c r="B27" s="12" t="s">
        <v>134</v>
      </c>
      <c r="C27" s="13" t="s">
        <v>95</v>
      </c>
      <c r="D27" s="13" t="s">
        <v>96</v>
      </c>
      <c r="E27" s="13">
        <v>3017</v>
      </c>
      <c r="F27" s="13">
        <v>0</v>
      </c>
      <c r="G27" s="13">
        <v>3017</v>
      </c>
      <c r="H27" s="13">
        <v>0</v>
      </c>
      <c r="I27" s="13">
        <v>13</v>
      </c>
      <c r="J27" s="13"/>
      <c r="K27" s="13">
        <v>2824</v>
      </c>
      <c r="L27" s="13">
        <v>407</v>
      </c>
      <c r="M27" s="13">
        <v>819.35</v>
      </c>
      <c r="N27" s="13">
        <v>0</v>
      </c>
      <c r="O27" s="13">
        <v>0</v>
      </c>
      <c r="P27" s="13">
        <v>77.77</v>
      </c>
      <c r="Q27" s="13">
        <v>412.73</v>
      </c>
      <c r="R27" s="13">
        <v>819.35</v>
      </c>
      <c r="S27" s="13">
        <v>299.94</v>
      </c>
      <c r="T27" s="13">
        <v>0</v>
      </c>
      <c r="U27" s="13">
        <v>12</v>
      </c>
      <c r="V27" s="13">
        <v>500</v>
      </c>
      <c r="W27" s="13">
        <v>5</v>
      </c>
      <c r="X27" s="13">
        <v>0</v>
      </c>
      <c r="Y27" s="13">
        <v>0</v>
      </c>
      <c r="Z27" s="13">
        <v>60</v>
      </c>
      <c r="AA27" s="13">
        <v>20</v>
      </c>
      <c r="AB27" s="13"/>
      <c r="AC27" s="13">
        <f t="shared" si="0"/>
        <v>1</v>
      </c>
      <c r="AD27" s="13" t="str">
        <f t="shared" si="1"/>
        <v>OK</v>
      </c>
      <c r="AE27" s="13" t="str">
        <f t="shared" si="2"/>
        <v>OK</v>
      </c>
    </row>
    <row r="28" spans="1:31" ht="15" customHeight="1" x14ac:dyDescent="0.35">
      <c r="A28" s="12">
        <v>3152105</v>
      </c>
      <c r="B28" s="12" t="s">
        <v>135</v>
      </c>
      <c r="C28" s="13" t="s">
        <v>95</v>
      </c>
      <c r="D28" s="13" t="s">
        <v>136</v>
      </c>
      <c r="E28" s="13">
        <v>21103</v>
      </c>
      <c r="F28" s="13">
        <v>857</v>
      </c>
      <c r="G28" s="13">
        <v>23160</v>
      </c>
      <c r="H28" s="13">
        <v>906</v>
      </c>
      <c r="I28" s="13">
        <v>5336</v>
      </c>
      <c r="J28" s="13">
        <v>6</v>
      </c>
      <c r="K28" s="13">
        <v>18689</v>
      </c>
      <c r="L28" s="13">
        <v>3243</v>
      </c>
      <c r="M28" s="13">
        <v>7179.32</v>
      </c>
      <c r="N28" s="13">
        <v>0</v>
      </c>
      <c r="O28" s="13">
        <v>0</v>
      </c>
      <c r="P28" s="13">
        <v>645.65</v>
      </c>
      <c r="Q28" s="13">
        <v>3457.41</v>
      </c>
      <c r="R28" s="13">
        <v>7179.32</v>
      </c>
      <c r="S28" s="13">
        <v>3457.41</v>
      </c>
      <c r="T28" s="13">
        <v>7179.32</v>
      </c>
      <c r="U28" s="13">
        <v>276</v>
      </c>
      <c r="V28" s="13">
        <v>24066</v>
      </c>
      <c r="W28" s="13">
        <v>645</v>
      </c>
      <c r="X28" s="13">
        <v>55</v>
      </c>
      <c r="Y28" s="13">
        <v>17990</v>
      </c>
      <c r="Z28" s="13">
        <v>225</v>
      </c>
      <c r="AA28" s="13">
        <v>1501</v>
      </c>
      <c r="AB28" s="13">
        <v>1820</v>
      </c>
      <c r="AC28" s="13">
        <f t="shared" si="0"/>
        <v>0</v>
      </c>
      <c r="AD28" s="13" t="str">
        <f t="shared" si="1"/>
        <v>OK</v>
      </c>
      <c r="AE28" s="13" t="str">
        <f t="shared" si="2"/>
        <v>OK</v>
      </c>
    </row>
    <row r="29" spans="1:31" ht="15" customHeight="1" x14ac:dyDescent="0.35">
      <c r="A29" s="12">
        <v>3154002</v>
      </c>
      <c r="B29" s="12" t="s">
        <v>137</v>
      </c>
      <c r="C29" s="13" t="s">
        <v>95</v>
      </c>
      <c r="D29" s="13" t="s">
        <v>96</v>
      </c>
      <c r="E29" s="13">
        <v>7381</v>
      </c>
      <c r="F29" s="13">
        <v>0</v>
      </c>
      <c r="G29" s="13">
        <v>7987</v>
      </c>
      <c r="H29" s="13">
        <v>0</v>
      </c>
      <c r="I29" s="13">
        <v>1183</v>
      </c>
      <c r="J29" s="13">
        <v>0</v>
      </c>
      <c r="K29" s="13">
        <v>7673</v>
      </c>
      <c r="L29" s="13">
        <v>1183</v>
      </c>
      <c r="M29" s="13">
        <v>1457.42</v>
      </c>
      <c r="N29" s="13">
        <v>0</v>
      </c>
      <c r="O29" s="13">
        <v>0</v>
      </c>
      <c r="P29" s="13">
        <v>17.579999999999998</v>
      </c>
      <c r="Q29" s="13">
        <v>1053.6500000000001</v>
      </c>
      <c r="R29" s="13">
        <v>1457.42</v>
      </c>
      <c r="S29" s="13">
        <v>1051.67</v>
      </c>
      <c r="T29" s="13">
        <v>0</v>
      </c>
      <c r="U29" s="13">
        <v>1</v>
      </c>
      <c r="V29" s="13">
        <v>86</v>
      </c>
      <c r="W29" s="13">
        <v>8</v>
      </c>
      <c r="X29" s="13">
        <v>1</v>
      </c>
      <c r="Y29" s="13">
        <v>86</v>
      </c>
      <c r="Z29" s="13">
        <v>8</v>
      </c>
      <c r="AA29" s="13">
        <v>1</v>
      </c>
      <c r="AB29" s="13">
        <v>602</v>
      </c>
      <c r="AC29" s="13">
        <f t="shared" si="0"/>
        <v>0</v>
      </c>
      <c r="AD29" s="13" t="str">
        <f t="shared" si="1"/>
        <v>OK</v>
      </c>
      <c r="AE29" s="13" t="str">
        <f t="shared" si="2"/>
        <v>OK</v>
      </c>
    </row>
    <row r="30" spans="1:31" ht="15" customHeight="1" x14ac:dyDescent="0.35">
      <c r="A30" s="12">
        <v>3154101</v>
      </c>
      <c r="B30" s="12" t="s">
        <v>138</v>
      </c>
      <c r="C30" s="13" t="s">
        <v>95</v>
      </c>
      <c r="D30" s="13" t="s">
        <v>96</v>
      </c>
      <c r="E30" s="13">
        <v>3124</v>
      </c>
      <c r="F30" s="13">
        <v>0</v>
      </c>
      <c r="G30" s="13">
        <v>3210</v>
      </c>
      <c r="H30" s="13">
        <v>0</v>
      </c>
      <c r="I30" s="13">
        <v>95</v>
      </c>
      <c r="J30" s="13"/>
      <c r="K30" s="13">
        <v>3210</v>
      </c>
      <c r="L30" s="13">
        <v>95</v>
      </c>
      <c r="M30" s="13">
        <v>732.78</v>
      </c>
      <c r="N30" s="13">
        <v>0</v>
      </c>
      <c r="O30" s="13">
        <v>0</v>
      </c>
      <c r="P30" s="13">
        <v>18.2</v>
      </c>
      <c r="Q30" s="13">
        <v>508.76</v>
      </c>
      <c r="R30" s="13">
        <v>732.78</v>
      </c>
      <c r="S30" s="13">
        <v>508.76</v>
      </c>
      <c r="T30" s="13">
        <v>732.78</v>
      </c>
      <c r="U30" s="13">
        <v>5</v>
      </c>
      <c r="V30" s="13">
        <v>3210</v>
      </c>
      <c r="W30" s="13">
        <v>60</v>
      </c>
      <c r="X30" s="13">
        <v>0</v>
      </c>
      <c r="Y30" s="13">
        <v>0</v>
      </c>
      <c r="Z30" s="13">
        <v>0</v>
      </c>
      <c r="AA30" s="13">
        <v>5</v>
      </c>
      <c r="AB30" s="13">
        <v>5</v>
      </c>
      <c r="AC30" s="13">
        <f t="shared" si="0"/>
        <v>1</v>
      </c>
      <c r="AD30" s="13" t="str">
        <f t="shared" si="1"/>
        <v>OK</v>
      </c>
      <c r="AE30" s="13" t="str">
        <f t="shared" si="2"/>
        <v>OK</v>
      </c>
    </row>
    <row r="31" spans="1:31" ht="15" customHeight="1" x14ac:dyDescent="0.35">
      <c r="A31" s="12">
        <v>3154150</v>
      </c>
      <c r="B31" s="12" t="s">
        <v>139</v>
      </c>
      <c r="C31" s="13" t="s">
        <v>95</v>
      </c>
      <c r="D31" s="13" t="s">
        <v>140</v>
      </c>
      <c r="E31" s="13">
        <v>1739</v>
      </c>
      <c r="F31" s="13">
        <v>250</v>
      </c>
      <c r="G31" s="13">
        <v>1958</v>
      </c>
      <c r="H31" s="13">
        <v>250</v>
      </c>
      <c r="I31" s="13">
        <v>34</v>
      </c>
      <c r="J31" s="13">
        <v>0</v>
      </c>
      <c r="K31" s="13">
        <v>1958</v>
      </c>
      <c r="L31" s="13">
        <v>32</v>
      </c>
      <c r="M31" s="13">
        <v>977.12</v>
      </c>
      <c r="N31" s="13">
        <v>0</v>
      </c>
      <c r="O31" s="13">
        <v>0</v>
      </c>
      <c r="P31" s="13">
        <v>0.45</v>
      </c>
      <c r="Q31" s="13">
        <v>633.02</v>
      </c>
      <c r="R31" s="13">
        <v>977.12</v>
      </c>
      <c r="S31" s="13">
        <v>0</v>
      </c>
      <c r="T31" s="13">
        <v>0</v>
      </c>
      <c r="U31" s="13">
        <v>12</v>
      </c>
      <c r="V31" s="13">
        <v>2087</v>
      </c>
      <c r="W31" s="13">
        <v>72</v>
      </c>
      <c r="X31" s="13">
        <v>4</v>
      </c>
      <c r="Y31" s="13">
        <v>2087</v>
      </c>
      <c r="Z31" s="13">
        <v>72</v>
      </c>
      <c r="AA31" s="13">
        <v>506</v>
      </c>
      <c r="AB31" s="13">
        <v>756</v>
      </c>
      <c r="AC31" s="13">
        <f t="shared" si="0"/>
        <v>0</v>
      </c>
      <c r="AD31" s="13" t="str">
        <f t="shared" si="1"/>
        <v>OK</v>
      </c>
      <c r="AE31" s="13" t="str">
        <f t="shared" si="2"/>
        <v>OK</v>
      </c>
    </row>
    <row r="32" spans="1:31" ht="15" customHeight="1" x14ac:dyDescent="0.35">
      <c r="A32" s="12">
        <v>3165701</v>
      </c>
      <c r="B32" s="12" t="s">
        <v>141</v>
      </c>
      <c r="C32" s="13" t="s">
        <v>95</v>
      </c>
      <c r="D32" s="13" t="s">
        <v>96</v>
      </c>
      <c r="E32" s="13">
        <v>2494</v>
      </c>
      <c r="F32" s="13">
        <v>21</v>
      </c>
      <c r="G32" s="13">
        <v>2867</v>
      </c>
      <c r="H32" s="13">
        <v>21</v>
      </c>
      <c r="I32" s="13">
        <v>13</v>
      </c>
      <c r="J32" s="13"/>
      <c r="K32" s="13">
        <v>2620</v>
      </c>
      <c r="L32" s="13">
        <v>10</v>
      </c>
      <c r="M32" s="13">
        <v>490.28</v>
      </c>
      <c r="N32" s="13">
        <v>0</v>
      </c>
      <c r="O32" s="13">
        <v>0</v>
      </c>
      <c r="P32" s="13">
        <v>7.69</v>
      </c>
      <c r="Q32" s="13">
        <v>325.98</v>
      </c>
      <c r="R32" s="13">
        <v>490.28</v>
      </c>
      <c r="S32" s="13">
        <v>325.5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15</v>
      </c>
      <c r="AB32" s="13">
        <v>237</v>
      </c>
      <c r="AC32" s="13">
        <f t="shared" si="0"/>
        <v>1</v>
      </c>
      <c r="AD32" s="13" t="str">
        <f t="shared" si="1"/>
        <v>OK</v>
      </c>
      <c r="AE32" s="13" t="str">
        <f t="shared" si="2"/>
        <v>OK</v>
      </c>
    </row>
    <row r="33" spans="1:31" ht="15" customHeight="1" x14ac:dyDescent="0.35">
      <c r="A33" s="12">
        <v>3161403</v>
      </c>
      <c r="B33" s="12" t="s">
        <v>142</v>
      </c>
      <c r="C33" s="13" t="s">
        <v>95</v>
      </c>
      <c r="D33" s="13" t="s">
        <v>143</v>
      </c>
      <c r="E33" s="13">
        <v>1462</v>
      </c>
      <c r="F33" s="13">
        <v>0</v>
      </c>
      <c r="G33" s="13">
        <v>1462</v>
      </c>
      <c r="H33" s="13">
        <v>0</v>
      </c>
      <c r="I33" s="13"/>
      <c r="J33" s="13"/>
      <c r="K33" s="13">
        <v>1462</v>
      </c>
      <c r="L33" s="13">
        <v>39</v>
      </c>
      <c r="M33" s="13">
        <v>372.3</v>
      </c>
      <c r="N33" s="13">
        <v>0</v>
      </c>
      <c r="O33" s="13">
        <v>0</v>
      </c>
      <c r="P33" s="13">
        <v>0</v>
      </c>
      <c r="Q33" s="13">
        <v>311</v>
      </c>
      <c r="R33" s="13">
        <v>372.3</v>
      </c>
      <c r="S33" s="13">
        <v>311</v>
      </c>
      <c r="T33" s="13">
        <v>311</v>
      </c>
      <c r="U33" s="13">
        <v>1</v>
      </c>
      <c r="V33" s="13">
        <v>120</v>
      </c>
      <c r="W33" s="13">
        <v>12</v>
      </c>
      <c r="X33" s="13">
        <v>1</v>
      </c>
      <c r="Y33" s="13">
        <v>120</v>
      </c>
      <c r="Z33" s="13">
        <v>145</v>
      </c>
      <c r="AA33" s="13">
        <v>3</v>
      </c>
      <c r="AB33" s="13"/>
      <c r="AC33" s="13">
        <f t="shared" si="0"/>
        <v>2</v>
      </c>
      <c r="AD33" s="13" t="str">
        <f t="shared" si="1"/>
        <v>OK</v>
      </c>
      <c r="AE33" s="13" t="str">
        <f t="shared" si="2"/>
        <v>OK</v>
      </c>
    </row>
    <row r="34" spans="1:31" ht="15" customHeight="1" x14ac:dyDescent="0.35">
      <c r="A34" s="12">
        <v>3168051</v>
      </c>
      <c r="B34" s="12" t="s">
        <v>144</v>
      </c>
      <c r="C34" s="13" t="s">
        <v>95</v>
      </c>
      <c r="D34" s="13" t="s">
        <v>145</v>
      </c>
      <c r="E34" s="13">
        <v>1113</v>
      </c>
      <c r="F34" s="13">
        <v>41</v>
      </c>
      <c r="G34" s="13">
        <v>1234</v>
      </c>
      <c r="H34" s="13">
        <v>41</v>
      </c>
      <c r="I34" s="13">
        <v>8</v>
      </c>
      <c r="J34" s="13"/>
      <c r="K34" s="13">
        <v>1234</v>
      </c>
      <c r="L34" s="13">
        <v>9</v>
      </c>
      <c r="M34" s="13">
        <v>375.8</v>
      </c>
      <c r="N34" s="13">
        <v>0</v>
      </c>
      <c r="O34" s="13">
        <v>0</v>
      </c>
      <c r="P34" s="13">
        <v>0</v>
      </c>
      <c r="Q34" s="13">
        <v>150</v>
      </c>
      <c r="R34" s="13">
        <v>375.8</v>
      </c>
      <c r="S34" s="13">
        <v>150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60</v>
      </c>
      <c r="AB34" s="13">
        <v>12</v>
      </c>
      <c r="AC34" s="13">
        <f t="shared" si="0"/>
        <v>1</v>
      </c>
      <c r="AD34" s="13" t="str">
        <f t="shared" si="1"/>
        <v>OK</v>
      </c>
      <c r="AE34" s="13" t="str">
        <f t="shared" si="2"/>
        <v>OK</v>
      </c>
    </row>
    <row r="35" spans="1:31" ht="15" customHeight="1" x14ac:dyDescent="0.35">
      <c r="A35" s="12">
        <v>3169000</v>
      </c>
      <c r="B35" s="12" t="s">
        <v>146</v>
      </c>
      <c r="C35" s="13" t="s">
        <v>95</v>
      </c>
      <c r="D35" s="13" t="s">
        <v>147</v>
      </c>
      <c r="E35" s="13">
        <v>5436</v>
      </c>
      <c r="F35" s="13">
        <v>30</v>
      </c>
      <c r="G35" s="13">
        <v>5669</v>
      </c>
      <c r="H35" s="13">
        <v>30</v>
      </c>
      <c r="I35" s="13"/>
      <c r="J35" s="13">
        <v>235</v>
      </c>
      <c r="K35" s="13">
        <v>5699</v>
      </c>
      <c r="L35" s="13">
        <v>233</v>
      </c>
      <c r="M35" s="13">
        <v>2628</v>
      </c>
      <c r="N35" s="13">
        <v>0</v>
      </c>
      <c r="O35" s="13">
        <v>0</v>
      </c>
      <c r="P35" s="13">
        <v>97.89</v>
      </c>
      <c r="Q35" s="13">
        <v>1910.4</v>
      </c>
      <c r="R35" s="13">
        <v>2628</v>
      </c>
      <c r="S35" s="13">
        <v>0</v>
      </c>
      <c r="T35" s="13">
        <v>0</v>
      </c>
      <c r="U35" s="13">
        <v>10</v>
      </c>
      <c r="V35" s="13">
        <v>200</v>
      </c>
      <c r="W35" s="13">
        <v>72</v>
      </c>
      <c r="X35" s="13">
        <v>4</v>
      </c>
      <c r="Y35" s="13">
        <v>1200</v>
      </c>
      <c r="Z35" s="13">
        <v>24</v>
      </c>
      <c r="AA35" s="13">
        <v>32</v>
      </c>
      <c r="AB35" s="13">
        <v>15</v>
      </c>
      <c r="AC35" s="13">
        <f t="shared" si="0"/>
        <v>1</v>
      </c>
      <c r="AD35" s="13" t="str">
        <f t="shared" si="1"/>
        <v>OK</v>
      </c>
      <c r="AE35" s="13" t="str">
        <f t="shared" si="2"/>
        <v>OK</v>
      </c>
    </row>
    <row r="36" spans="1:31" ht="15" customHeight="1" x14ac:dyDescent="0.35">
      <c r="A36" s="12">
        <v>3169208</v>
      </c>
      <c r="B36" s="12" t="s">
        <v>148</v>
      </c>
      <c r="C36" s="13" t="s">
        <v>95</v>
      </c>
      <c r="D36" s="13" t="s">
        <v>96</v>
      </c>
      <c r="E36" s="13">
        <v>3110</v>
      </c>
      <c r="F36" s="13">
        <v>0</v>
      </c>
      <c r="G36" s="13">
        <v>3272</v>
      </c>
      <c r="H36" s="13">
        <v>0</v>
      </c>
      <c r="I36" s="13">
        <v>360</v>
      </c>
      <c r="J36" s="13"/>
      <c r="K36" s="13">
        <v>3272</v>
      </c>
      <c r="L36" s="13">
        <v>360</v>
      </c>
      <c r="M36" s="13">
        <v>814.04</v>
      </c>
      <c r="N36" s="13">
        <v>0</v>
      </c>
      <c r="O36" s="13">
        <v>0</v>
      </c>
      <c r="P36" s="13">
        <v>46.9</v>
      </c>
      <c r="Q36" s="13">
        <v>678.02</v>
      </c>
      <c r="R36" s="13">
        <v>814.04</v>
      </c>
      <c r="S36" s="13">
        <v>677.98</v>
      </c>
      <c r="T36" s="13">
        <v>0</v>
      </c>
      <c r="U36" s="13">
        <v>63</v>
      </c>
      <c r="V36" s="13">
        <v>3697</v>
      </c>
      <c r="W36" s="13">
        <v>63</v>
      </c>
      <c r="X36" s="13">
        <v>0</v>
      </c>
      <c r="Y36" s="13">
        <v>0</v>
      </c>
      <c r="Z36" s="13">
        <v>0</v>
      </c>
      <c r="AA36" s="13">
        <v>8</v>
      </c>
      <c r="AB36" s="13"/>
      <c r="AC36" s="13">
        <f t="shared" si="0"/>
        <v>1</v>
      </c>
      <c r="AD36" s="13" t="str">
        <f t="shared" si="1"/>
        <v>OK</v>
      </c>
      <c r="AE36" s="13" t="str">
        <f t="shared" si="2"/>
        <v>OK</v>
      </c>
    </row>
    <row r="37" spans="1:31" ht="15" customHeight="1" x14ac:dyDescent="0.35">
      <c r="A37" s="12">
        <v>3171154</v>
      </c>
      <c r="B37" s="12" t="s">
        <v>149</v>
      </c>
      <c r="C37" s="13" t="s">
        <v>95</v>
      </c>
      <c r="D37" s="13" t="s">
        <v>96</v>
      </c>
      <c r="E37" s="13">
        <v>913</v>
      </c>
      <c r="F37" s="13">
        <v>0</v>
      </c>
      <c r="G37" s="13">
        <v>1149</v>
      </c>
      <c r="H37" s="13">
        <v>0</v>
      </c>
      <c r="I37" s="13">
        <v>16</v>
      </c>
      <c r="J37" s="13">
        <v>16</v>
      </c>
      <c r="K37" s="13">
        <v>1097</v>
      </c>
      <c r="L37" s="13">
        <v>14</v>
      </c>
      <c r="M37" s="13">
        <v>219.02</v>
      </c>
      <c r="N37" s="13">
        <v>0</v>
      </c>
      <c r="O37" s="13">
        <v>0</v>
      </c>
      <c r="P37" s="13">
        <v>20.2</v>
      </c>
      <c r="Q37" s="13">
        <v>103.08</v>
      </c>
      <c r="R37" s="13">
        <v>219.02</v>
      </c>
      <c r="S37" s="13">
        <v>87.99</v>
      </c>
      <c r="T37" s="13">
        <v>0</v>
      </c>
      <c r="U37" s="13">
        <v>5</v>
      </c>
      <c r="V37" s="13">
        <v>1149</v>
      </c>
      <c r="W37" s="13">
        <v>24</v>
      </c>
      <c r="X37" s="13">
        <v>5</v>
      </c>
      <c r="Y37" s="13">
        <v>1149</v>
      </c>
      <c r="Z37" s="13">
        <v>24</v>
      </c>
      <c r="AA37" s="13">
        <v>10</v>
      </c>
      <c r="AB37" s="13"/>
      <c r="AC37" s="13">
        <f t="shared" si="0"/>
        <v>0</v>
      </c>
      <c r="AD37" s="13" t="str">
        <f t="shared" si="1"/>
        <v>OK</v>
      </c>
      <c r="AE37" s="13" t="str">
        <f t="shared" si="2"/>
        <v>OK</v>
      </c>
    </row>
    <row r="38" spans="1:31" ht="15" customHeight="1" x14ac:dyDescent="0.35">
      <c r="A38" s="12">
        <v>3171303</v>
      </c>
      <c r="B38" s="12" t="s">
        <v>150</v>
      </c>
      <c r="C38" s="13" t="s">
        <v>95</v>
      </c>
      <c r="D38" s="13" t="s">
        <v>96</v>
      </c>
      <c r="E38" s="13">
        <v>34364</v>
      </c>
      <c r="F38" s="13">
        <v>210</v>
      </c>
      <c r="G38" s="13">
        <v>37216</v>
      </c>
      <c r="H38" s="13">
        <v>215</v>
      </c>
      <c r="I38" s="13">
        <v>3126</v>
      </c>
      <c r="J38" s="13">
        <v>186</v>
      </c>
      <c r="K38" s="13">
        <v>22451</v>
      </c>
      <c r="L38" s="13">
        <v>2802</v>
      </c>
      <c r="M38" s="13">
        <v>7342</v>
      </c>
      <c r="N38" s="13">
        <v>0</v>
      </c>
      <c r="O38" s="13">
        <v>0</v>
      </c>
      <c r="P38" s="13">
        <v>194.54</v>
      </c>
      <c r="Q38" s="13">
        <v>4564.8599999999997</v>
      </c>
      <c r="R38" s="13">
        <v>7342</v>
      </c>
      <c r="S38" s="13">
        <v>4564.76</v>
      </c>
      <c r="T38" s="13">
        <v>6959.53</v>
      </c>
      <c r="U38" s="13">
        <v>79</v>
      </c>
      <c r="V38" s="13">
        <v>12000</v>
      </c>
      <c r="W38" s="13">
        <v>1896</v>
      </c>
      <c r="X38" s="13">
        <v>0</v>
      </c>
      <c r="Y38" s="13">
        <v>0</v>
      </c>
      <c r="Z38" s="13">
        <v>0</v>
      </c>
      <c r="AA38" s="13">
        <v>796</v>
      </c>
      <c r="AB38" s="13">
        <v>1531</v>
      </c>
      <c r="AC38" s="13">
        <f t="shared" si="0"/>
        <v>0</v>
      </c>
      <c r="AD38" s="13" t="str">
        <f t="shared" si="1"/>
        <v>OK</v>
      </c>
      <c r="AE38" s="13" t="str">
        <f t="shared" si="2"/>
        <v>OK</v>
      </c>
    </row>
    <row r="39" spans="1:31" ht="15" customHeight="1" x14ac:dyDescent="0.35">
      <c r="A39" s="12">
        <v>3167202</v>
      </c>
      <c r="B39" s="12" t="s">
        <v>151</v>
      </c>
      <c r="C39" s="13" t="s">
        <v>95</v>
      </c>
      <c r="D39" s="13" t="s">
        <v>152</v>
      </c>
      <c r="E39" s="13">
        <v>91349</v>
      </c>
      <c r="F39" s="13">
        <v>5024</v>
      </c>
      <c r="G39" s="13">
        <v>100494</v>
      </c>
      <c r="H39" s="13">
        <v>5024</v>
      </c>
      <c r="I39" s="13">
        <v>9145</v>
      </c>
      <c r="J39" s="13"/>
      <c r="K39" s="13">
        <v>83965</v>
      </c>
      <c r="L39" s="13">
        <v>8256</v>
      </c>
      <c r="M39" s="13">
        <v>39516.449999999997</v>
      </c>
      <c r="N39" s="13">
        <v>0</v>
      </c>
      <c r="O39" s="13">
        <v>0</v>
      </c>
      <c r="P39" s="13">
        <v>67.489999999999995</v>
      </c>
      <c r="Q39" s="13">
        <v>12291.03</v>
      </c>
      <c r="R39" s="13">
        <v>39516.449999999997</v>
      </c>
      <c r="S39" s="13">
        <v>10569.16</v>
      </c>
      <c r="T39" s="13">
        <v>39516.449999999997</v>
      </c>
      <c r="U39" s="13">
        <v>9</v>
      </c>
      <c r="V39" s="13">
        <v>48713</v>
      </c>
      <c r="W39" s="13">
        <v>72</v>
      </c>
      <c r="X39" s="13">
        <v>8</v>
      </c>
      <c r="Y39" s="13">
        <v>48713</v>
      </c>
      <c r="Z39" s="13">
        <v>64</v>
      </c>
      <c r="AA39" s="13">
        <v>11220</v>
      </c>
      <c r="AB39" s="13">
        <v>11673</v>
      </c>
      <c r="AC39" s="13">
        <f t="shared" si="0"/>
        <v>1</v>
      </c>
      <c r="AD39" s="13" t="str">
        <f t="shared" si="1"/>
        <v>OK</v>
      </c>
      <c r="AE39" s="13" t="str">
        <f t="shared" si="2"/>
        <v>OK</v>
      </c>
    </row>
    <row r="40" spans="1:31" ht="15" customHeight="1" x14ac:dyDescent="0.35">
      <c r="A40" s="12">
        <v>3146305</v>
      </c>
      <c r="B40" s="12" t="s">
        <v>153</v>
      </c>
      <c r="C40" s="13" t="s">
        <v>95</v>
      </c>
      <c r="D40" s="13" t="s">
        <v>154</v>
      </c>
      <c r="E40" s="13">
        <v>4420</v>
      </c>
      <c r="F40" s="13">
        <v>84</v>
      </c>
      <c r="G40" s="13">
        <v>4968</v>
      </c>
      <c r="H40" s="13">
        <v>93</v>
      </c>
      <c r="I40" s="13">
        <v>1287</v>
      </c>
      <c r="J40" s="13">
        <v>164</v>
      </c>
      <c r="K40" s="13">
        <v>5062</v>
      </c>
      <c r="L40" s="13">
        <v>1081</v>
      </c>
      <c r="M40" s="13">
        <v>668.95</v>
      </c>
      <c r="N40" s="13">
        <v>0</v>
      </c>
      <c r="O40" s="13">
        <v>0</v>
      </c>
      <c r="P40" s="13">
        <v>1.42</v>
      </c>
      <c r="Q40" s="13">
        <v>520.13</v>
      </c>
      <c r="R40" s="13">
        <v>668.95</v>
      </c>
      <c r="S40" s="13">
        <v>530.16</v>
      </c>
      <c r="T40" s="13">
        <v>668.95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7908</v>
      </c>
      <c r="AB40" s="13">
        <v>3910</v>
      </c>
      <c r="AC40" s="13">
        <f t="shared" si="0"/>
        <v>0</v>
      </c>
      <c r="AD40" s="13" t="str">
        <f t="shared" si="1"/>
        <v>OK</v>
      </c>
      <c r="AE40" s="13" t="str">
        <f t="shared" si="2"/>
        <v>OK</v>
      </c>
    </row>
    <row r="41" spans="1:31" ht="15" customHeight="1" x14ac:dyDescent="0.35">
      <c r="A41" s="12">
        <v>3120607</v>
      </c>
      <c r="B41" s="12" t="s">
        <v>155</v>
      </c>
      <c r="C41" s="13" t="s">
        <v>95</v>
      </c>
      <c r="D41" s="13" t="s">
        <v>156</v>
      </c>
      <c r="E41" s="13">
        <v>1637</v>
      </c>
      <c r="F41" s="13">
        <v>9</v>
      </c>
      <c r="G41" s="13">
        <v>1884</v>
      </c>
      <c r="H41" s="13">
        <v>9</v>
      </c>
      <c r="I41" s="13">
        <v>171</v>
      </c>
      <c r="J41" s="13">
        <v>28</v>
      </c>
      <c r="K41" s="13">
        <v>1730</v>
      </c>
      <c r="L41" s="13">
        <v>171</v>
      </c>
      <c r="M41" s="13">
        <v>250.9</v>
      </c>
      <c r="N41" s="13">
        <v>0</v>
      </c>
      <c r="O41" s="13">
        <v>0</v>
      </c>
      <c r="P41" s="13">
        <v>0</v>
      </c>
      <c r="Q41" s="13">
        <v>206.66</v>
      </c>
      <c r="R41" s="13">
        <v>250.9</v>
      </c>
      <c r="S41" s="13">
        <v>206.66</v>
      </c>
      <c r="T41" s="13">
        <v>250.9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1857</v>
      </c>
      <c r="AB41" s="13">
        <v>417</v>
      </c>
      <c r="AC41" s="13">
        <f t="shared" si="0"/>
        <v>0</v>
      </c>
      <c r="AD41" s="13" t="str">
        <f t="shared" si="1"/>
        <v>OK</v>
      </c>
      <c r="AE41" s="13" t="str">
        <f t="shared" si="2"/>
        <v>OK</v>
      </c>
    </row>
    <row r="42" spans="1:31" ht="15" customHeight="1" x14ac:dyDescent="0.35">
      <c r="A42" s="12">
        <v>3115706</v>
      </c>
      <c r="B42" s="12" t="s">
        <v>157</v>
      </c>
      <c r="C42" s="13" t="s">
        <v>95</v>
      </c>
      <c r="D42" s="13" t="s">
        <v>96</v>
      </c>
      <c r="E42" s="13">
        <v>2000</v>
      </c>
      <c r="F42" s="13">
        <v>45</v>
      </c>
      <c r="G42" s="13">
        <v>2675</v>
      </c>
      <c r="H42" s="13">
        <v>45</v>
      </c>
      <c r="I42" s="13">
        <v>115</v>
      </c>
      <c r="J42" s="13">
        <v>0</v>
      </c>
      <c r="K42" s="13">
        <v>2675</v>
      </c>
      <c r="L42" s="13">
        <v>125</v>
      </c>
      <c r="M42" s="13">
        <v>601.35</v>
      </c>
      <c r="N42" s="13">
        <v>0</v>
      </c>
      <c r="O42" s="13">
        <v>0</v>
      </c>
      <c r="P42" s="13">
        <v>36.5</v>
      </c>
      <c r="Q42" s="13">
        <v>420</v>
      </c>
      <c r="R42" s="13">
        <v>601.35</v>
      </c>
      <c r="S42" s="13">
        <v>0</v>
      </c>
      <c r="T42" s="13">
        <v>601.35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1650</v>
      </c>
      <c r="AB42" s="13"/>
      <c r="AC42" s="13">
        <f t="shared" si="0"/>
        <v>0</v>
      </c>
      <c r="AD42" s="13" t="str">
        <f t="shared" si="1"/>
        <v>OK</v>
      </c>
      <c r="AE42" s="13" t="str">
        <f t="shared" si="2"/>
        <v>OK</v>
      </c>
    </row>
    <row r="44" spans="1:31" ht="15" customHeight="1" x14ac:dyDescent="0.35">
      <c r="B44" s="9" t="s">
        <v>158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328125" defaultRowHeight="14.5" x14ac:dyDescent="0.35"/>
  <cols>
    <col min="1" max="1" width="10" customWidth="1"/>
    <col min="2" max="2" width="22" customWidth="1"/>
    <col min="3" max="3" width="26" customWidth="1"/>
    <col min="4" max="4" width="30" customWidth="1"/>
    <col min="5" max="16" width="13" customWidth="1"/>
    <col min="17" max="17" width="14" customWidth="1"/>
    <col min="18" max="20" width="22" customWidth="1"/>
  </cols>
  <sheetData>
    <row r="1" spans="1:20" ht="17.25" customHeight="1" x14ac:dyDescent="0.4">
      <c r="A1" s="6" t="s">
        <v>159</v>
      </c>
    </row>
    <row r="2" spans="1:20" ht="45.75" customHeight="1" x14ac:dyDescent="0.35">
      <c r="A2" s="11" t="s">
        <v>63</v>
      </c>
      <c r="B2" s="11" t="s">
        <v>64</v>
      </c>
      <c r="C2" s="11" t="s">
        <v>65</v>
      </c>
      <c r="D2" s="11" t="s">
        <v>66</v>
      </c>
      <c r="E2" s="11" t="s">
        <v>160</v>
      </c>
      <c r="F2" s="11" t="s">
        <v>161</v>
      </c>
      <c r="G2" s="11" t="s">
        <v>162</v>
      </c>
      <c r="H2" s="11" t="s">
        <v>163</v>
      </c>
      <c r="I2" s="11" t="s">
        <v>164</v>
      </c>
      <c r="J2" s="11" t="s">
        <v>165</v>
      </c>
      <c r="K2" s="11" t="s">
        <v>166</v>
      </c>
      <c r="L2" s="11" t="s">
        <v>167</v>
      </c>
      <c r="M2" s="11" t="s">
        <v>168</v>
      </c>
      <c r="N2" s="11" t="s">
        <v>169</v>
      </c>
      <c r="O2" s="11" t="s">
        <v>170</v>
      </c>
      <c r="P2" s="11" t="s">
        <v>171</v>
      </c>
      <c r="Q2" s="11" t="s">
        <v>91</v>
      </c>
      <c r="R2" s="11" t="s">
        <v>92</v>
      </c>
      <c r="S2" s="11" t="s">
        <v>93</v>
      </c>
      <c r="T2" s="11" t="s">
        <v>172</v>
      </c>
    </row>
    <row r="3" spans="1:20" ht="15" customHeight="1" x14ac:dyDescent="0.35">
      <c r="A3" s="12">
        <v>3100302</v>
      </c>
      <c r="B3" s="12" t="s">
        <v>94</v>
      </c>
      <c r="C3" s="13" t="s">
        <v>95</v>
      </c>
      <c r="D3" s="13" t="s">
        <v>96</v>
      </c>
      <c r="E3" s="13">
        <v>0</v>
      </c>
      <c r="F3" s="13"/>
      <c r="G3" s="13"/>
      <c r="H3" s="13"/>
      <c r="I3" s="13"/>
      <c r="J3" s="13"/>
      <c r="K3" s="13">
        <v>2812</v>
      </c>
      <c r="L3" s="13">
        <v>30</v>
      </c>
      <c r="M3" s="13">
        <v>30</v>
      </c>
      <c r="N3" s="13">
        <v>4</v>
      </c>
      <c r="O3" s="13">
        <v>205.15</v>
      </c>
      <c r="P3" s="13">
        <v>0</v>
      </c>
      <c r="Q3" s="13">
        <f t="shared" ref="Q3:Q42" si="0">COUNTBLANK(E3:J3)</f>
        <v>5</v>
      </c>
      <c r="R3" s="13" t="str">
        <f t="shared" ref="R3:R42" si="1">IF(AND(ISNUMBER(E3),ISNUMBER(G3)),IF(E3&gt;G3,"Inconsistente – residencial&gt;total","OK"),"n.a.")</f>
        <v>n.a.</v>
      </c>
      <c r="S3" s="13" t="str">
        <f t="shared" ref="S3:S42" si="2">IF(AND(ISNUMBER(F3),ISNUMBER(H3)),IF(F3&gt;H3,"Inconsistente – residencial&gt;total","OK"),"n.a.")</f>
        <v>n.a.</v>
      </c>
      <c r="T3" s="13">
        <v>79.23</v>
      </c>
    </row>
    <row r="4" spans="1:20" ht="15" customHeight="1" x14ac:dyDescent="0.35">
      <c r="A4" s="12">
        <v>3100401</v>
      </c>
      <c r="B4" s="12" t="s">
        <v>97</v>
      </c>
      <c r="C4" s="13" t="s">
        <v>95</v>
      </c>
      <c r="D4" s="13" t="s">
        <v>98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2035</v>
      </c>
      <c r="L4" s="13">
        <v>42</v>
      </c>
      <c r="M4" s="13">
        <v>42</v>
      </c>
      <c r="N4" s="13">
        <v>126</v>
      </c>
      <c r="O4" s="13">
        <v>320</v>
      </c>
      <c r="P4" s="13">
        <v>0</v>
      </c>
      <c r="Q4" s="13">
        <f t="shared" si="0"/>
        <v>0</v>
      </c>
      <c r="R4" s="13" t="str">
        <f t="shared" si="1"/>
        <v>OK</v>
      </c>
      <c r="S4" s="13" t="str">
        <f t="shared" si="2"/>
        <v>OK</v>
      </c>
      <c r="T4" s="13">
        <v>11.03</v>
      </c>
    </row>
    <row r="5" spans="1:20" ht="15" customHeight="1" x14ac:dyDescent="0.35">
      <c r="A5" s="12">
        <v>3101102</v>
      </c>
      <c r="B5" s="12" t="s">
        <v>99</v>
      </c>
      <c r="C5" s="13" t="s">
        <v>95</v>
      </c>
      <c r="D5" s="13" t="s">
        <v>96</v>
      </c>
      <c r="E5" s="13">
        <v>6040</v>
      </c>
      <c r="F5" s="13"/>
      <c r="G5" s="13">
        <v>6591</v>
      </c>
      <c r="H5" s="13"/>
      <c r="I5" s="13"/>
      <c r="J5" s="13"/>
      <c r="K5" s="13">
        <v>8292</v>
      </c>
      <c r="L5" s="13">
        <v>12</v>
      </c>
      <c r="M5" s="13">
        <v>12</v>
      </c>
      <c r="N5" s="13">
        <v>86</v>
      </c>
      <c r="O5" s="13">
        <v>1657.26</v>
      </c>
      <c r="P5" s="13">
        <v>1384.52</v>
      </c>
      <c r="Q5" s="13">
        <f t="shared" si="0"/>
        <v>4</v>
      </c>
      <c r="R5" s="13" t="str">
        <f t="shared" si="1"/>
        <v>OK</v>
      </c>
      <c r="S5" s="13" t="str">
        <f t="shared" si="2"/>
        <v>n.a.</v>
      </c>
      <c r="T5" s="13">
        <v>104</v>
      </c>
    </row>
    <row r="6" spans="1:20" ht="15" customHeight="1" x14ac:dyDescent="0.35">
      <c r="A6" s="14">
        <v>3108701</v>
      </c>
      <c r="B6" s="14" t="s">
        <v>100</v>
      </c>
      <c r="C6" s="15" t="s">
        <v>107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>
        <f t="shared" si="0"/>
        <v>6</v>
      </c>
      <c r="R6" s="15" t="str">
        <f t="shared" si="1"/>
        <v>n.a.</v>
      </c>
      <c r="S6" s="15" t="str">
        <f t="shared" si="2"/>
        <v>n.a.</v>
      </c>
      <c r="T6" s="15"/>
    </row>
    <row r="7" spans="1:20" ht="15" customHeight="1" x14ac:dyDescent="0.35">
      <c r="A7" s="12">
        <v>3113107</v>
      </c>
      <c r="B7" s="12" t="s">
        <v>102</v>
      </c>
      <c r="C7" s="13" t="s">
        <v>95</v>
      </c>
      <c r="D7" s="13" t="s">
        <v>103</v>
      </c>
      <c r="E7" s="13">
        <v>0</v>
      </c>
      <c r="F7" s="13"/>
      <c r="G7" s="13"/>
      <c r="H7" s="13"/>
      <c r="I7" s="13"/>
      <c r="J7" s="13"/>
      <c r="K7" s="13">
        <v>663</v>
      </c>
      <c r="L7" s="13">
        <v>100</v>
      </c>
      <c r="M7" s="13">
        <v>80</v>
      </c>
      <c r="N7" s="13">
        <v>45</v>
      </c>
      <c r="O7" s="13">
        <v>30</v>
      </c>
      <c r="P7" s="13">
        <v>0</v>
      </c>
      <c r="Q7" s="13">
        <f t="shared" si="0"/>
        <v>5</v>
      </c>
      <c r="R7" s="13" t="str">
        <f t="shared" si="1"/>
        <v>n.a.</v>
      </c>
      <c r="S7" s="13" t="str">
        <f t="shared" si="2"/>
        <v>n.a.</v>
      </c>
      <c r="T7" s="13">
        <v>8</v>
      </c>
    </row>
    <row r="8" spans="1:20" ht="15" customHeight="1" x14ac:dyDescent="0.35">
      <c r="A8" s="12">
        <v>3113305</v>
      </c>
      <c r="B8" s="12" t="s">
        <v>104</v>
      </c>
      <c r="C8" s="13" t="s">
        <v>95</v>
      </c>
      <c r="D8" s="13" t="s">
        <v>105</v>
      </c>
      <c r="E8" s="13">
        <v>1092</v>
      </c>
      <c r="F8" s="13">
        <v>0</v>
      </c>
      <c r="G8" s="13"/>
      <c r="H8" s="13">
        <v>0</v>
      </c>
      <c r="I8" s="13">
        <v>1039</v>
      </c>
      <c r="J8" s="13"/>
      <c r="K8" s="13">
        <v>8329</v>
      </c>
      <c r="L8" s="13">
        <v>479</v>
      </c>
      <c r="M8" s="13">
        <v>479</v>
      </c>
      <c r="N8" s="13">
        <v>27253</v>
      </c>
      <c r="O8" s="13">
        <v>1176.52</v>
      </c>
      <c r="P8" s="13">
        <v>49.89</v>
      </c>
      <c r="Q8" s="13">
        <f t="shared" si="0"/>
        <v>2</v>
      </c>
      <c r="R8" s="13" t="str">
        <f t="shared" si="1"/>
        <v>n.a.</v>
      </c>
      <c r="S8" s="13" t="str">
        <f t="shared" si="2"/>
        <v>OK</v>
      </c>
      <c r="T8" s="13">
        <v>47</v>
      </c>
    </row>
    <row r="9" spans="1:20" ht="15" customHeight="1" x14ac:dyDescent="0.35">
      <c r="A9" s="14">
        <v>3116001</v>
      </c>
      <c r="B9" s="14" t="s">
        <v>106</v>
      </c>
      <c r="C9" s="15" t="s">
        <v>107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>
        <f t="shared" si="0"/>
        <v>6</v>
      </c>
      <c r="R9" s="15" t="str">
        <f t="shared" si="1"/>
        <v>n.a.</v>
      </c>
      <c r="S9" s="15" t="str">
        <f t="shared" si="2"/>
        <v>n.a.</v>
      </c>
      <c r="T9" s="15"/>
    </row>
    <row r="10" spans="1:20" ht="15" customHeight="1" x14ac:dyDescent="0.35">
      <c r="A10" s="12">
        <v>3118403</v>
      </c>
      <c r="B10" s="12" t="s">
        <v>108</v>
      </c>
      <c r="C10" s="13" t="s">
        <v>95</v>
      </c>
      <c r="D10" s="13" t="s">
        <v>96</v>
      </c>
      <c r="E10" s="13">
        <v>0</v>
      </c>
      <c r="F10" s="13"/>
      <c r="G10" s="13"/>
      <c r="H10" s="13"/>
      <c r="I10" s="13"/>
      <c r="J10" s="13"/>
      <c r="K10" s="13">
        <v>8016</v>
      </c>
      <c r="L10" s="13">
        <v>40</v>
      </c>
      <c r="M10" s="13">
        <v>40</v>
      </c>
      <c r="N10" s="13">
        <v>79</v>
      </c>
      <c r="O10" s="13">
        <v>999.98</v>
      </c>
      <c r="P10" s="13">
        <v>0</v>
      </c>
      <c r="Q10" s="13">
        <f t="shared" si="0"/>
        <v>5</v>
      </c>
      <c r="R10" s="13" t="str">
        <f t="shared" si="1"/>
        <v>n.a.</v>
      </c>
      <c r="S10" s="13" t="str">
        <f t="shared" si="2"/>
        <v>n.a.</v>
      </c>
      <c r="T10" s="13">
        <v>77</v>
      </c>
    </row>
    <row r="11" spans="1:20" ht="15" customHeight="1" x14ac:dyDescent="0.35">
      <c r="A11" s="12">
        <v>3127701</v>
      </c>
      <c r="B11" s="12" t="s">
        <v>109</v>
      </c>
      <c r="C11" s="13" t="s">
        <v>95</v>
      </c>
      <c r="D11" s="13" t="s">
        <v>173</v>
      </c>
      <c r="E11" s="13">
        <v>0</v>
      </c>
      <c r="F11" s="13"/>
      <c r="G11" s="13"/>
      <c r="H11" s="13"/>
      <c r="I11" s="13"/>
      <c r="J11" s="13"/>
      <c r="K11" s="13">
        <v>91399</v>
      </c>
      <c r="L11" s="13">
        <v>10620</v>
      </c>
      <c r="M11" s="13">
        <v>9459</v>
      </c>
      <c r="N11" s="13">
        <v>1555</v>
      </c>
      <c r="O11" s="13">
        <v>12840.02</v>
      </c>
      <c r="P11" s="13">
        <v>0</v>
      </c>
      <c r="Q11" s="13">
        <f t="shared" si="0"/>
        <v>5</v>
      </c>
      <c r="R11" s="13" t="str">
        <f t="shared" si="1"/>
        <v>n.a.</v>
      </c>
      <c r="S11" s="13" t="str">
        <f t="shared" si="2"/>
        <v>n.a.</v>
      </c>
      <c r="T11" s="13">
        <v>763.71</v>
      </c>
    </row>
    <row r="12" spans="1:20" ht="15" customHeight="1" x14ac:dyDescent="0.35">
      <c r="A12" s="12">
        <v>3128402</v>
      </c>
      <c r="B12" s="12" t="s">
        <v>111</v>
      </c>
      <c r="C12" s="13" t="s">
        <v>95</v>
      </c>
      <c r="D12" s="13" t="s">
        <v>112</v>
      </c>
      <c r="E12" s="13">
        <v>2660</v>
      </c>
      <c r="F12" s="13"/>
      <c r="G12" s="13"/>
      <c r="H12" s="13"/>
      <c r="I12" s="13"/>
      <c r="J12" s="13"/>
      <c r="K12" s="13">
        <v>2660</v>
      </c>
      <c r="L12" s="13">
        <v>50</v>
      </c>
      <c r="M12" s="13">
        <v>50</v>
      </c>
      <c r="N12" s="13">
        <v>100</v>
      </c>
      <c r="O12" s="13">
        <v>190</v>
      </c>
      <c r="P12" s="13">
        <v>0</v>
      </c>
      <c r="Q12" s="13">
        <f t="shared" si="0"/>
        <v>5</v>
      </c>
      <c r="R12" s="13" t="str">
        <f t="shared" si="1"/>
        <v>n.a.</v>
      </c>
      <c r="S12" s="13" t="str">
        <f t="shared" si="2"/>
        <v>n.a.</v>
      </c>
      <c r="T12" s="13">
        <v>35</v>
      </c>
    </row>
    <row r="13" spans="1:20" ht="15" customHeight="1" x14ac:dyDescent="0.35">
      <c r="A13" s="12">
        <v>3131208</v>
      </c>
      <c r="B13" s="12" t="s">
        <v>113</v>
      </c>
      <c r="C13" s="13" t="s">
        <v>95</v>
      </c>
      <c r="D13" s="13" t="s">
        <v>96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7090</v>
      </c>
      <c r="L13" s="13">
        <v>520</v>
      </c>
      <c r="M13" s="13">
        <v>520</v>
      </c>
      <c r="N13" s="13">
        <v>295</v>
      </c>
      <c r="O13" s="13">
        <v>676.43</v>
      </c>
      <c r="P13" s="13">
        <v>0</v>
      </c>
      <c r="Q13" s="13">
        <f t="shared" si="0"/>
        <v>0</v>
      </c>
      <c r="R13" s="13" t="str">
        <f t="shared" si="1"/>
        <v>OK</v>
      </c>
      <c r="S13" s="13" t="str">
        <f t="shared" si="2"/>
        <v>OK</v>
      </c>
      <c r="T13" s="13">
        <v>62</v>
      </c>
    </row>
    <row r="14" spans="1:20" ht="15" customHeight="1" x14ac:dyDescent="0.35">
      <c r="A14" s="12">
        <v>3132701</v>
      </c>
      <c r="B14" s="12" t="s">
        <v>114</v>
      </c>
      <c r="C14" s="13" t="s">
        <v>95</v>
      </c>
      <c r="D14" s="13" t="s">
        <v>96</v>
      </c>
      <c r="E14" s="13">
        <v>0</v>
      </c>
      <c r="F14" s="13"/>
      <c r="G14" s="13"/>
      <c r="H14" s="13"/>
      <c r="I14" s="13"/>
      <c r="J14" s="13"/>
      <c r="K14" s="13">
        <v>4485</v>
      </c>
      <c r="L14" s="13">
        <v>100</v>
      </c>
      <c r="M14" s="13">
        <v>100</v>
      </c>
      <c r="N14" s="13">
        <v>220</v>
      </c>
      <c r="O14" s="13">
        <v>400</v>
      </c>
      <c r="P14" s="13">
        <v>0</v>
      </c>
      <c r="Q14" s="13">
        <f t="shared" si="0"/>
        <v>5</v>
      </c>
      <c r="R14" s="13" t="str">
        <f t="shared" si="1"/>
        <v>n.a.</v>
      </c>
      <c r="S14" s="13" t="str">
        <f t="shared" si="2"/>
        <v>n.a.</v>
      </c>
      <c r="T14" s="13">
        <v>50</v>
      </c>
    </row>
    <row r="15" spans="1:20" ht="15" customHeight="1" x14ac:dyDescent="0.35">
      <c r="A15" s="14">
        <v>3135076</v>
      </c>
      <c r="B15" s="14" t="s">
        <v>115</v>
      </c>
      <c r="C15" s="15" t="s">
        <v>107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>
        <f t="shared" si="0"/>
        <v>6</v>
      </c>
      <c r="R15" s="15" t="str">
        <f t="shared" si="1"/>
        <v>n.a.</v>
      </c>
      <c r="S15" s="15" t="str">
        <f t="shared" si="2"/>
        <v>n.a.</v>
      </c>
      <c r="T15" s="15"/>
    </row>
    <row r="16" spans="1:20" ht="15" customHeight="1" x14ac:dyDescent="0.35">
      <c r="A16" s="12">
        <v>3135407</v>
      </c>
      <c r="B16" s="12" t="s">
        <v>117</v>
      </c>
      <c r="C16" s="13" t="s">
        <v>95</v>
      </c>
      <c r="D16" s="13" t="s">
        <v>118</v>
      </c>
      <c r="E16" s="13">
        <v>0</v>
      </c>
      <c r="F16" s="13"/>
      <c r="G16" s="13"/>
      <c r="H16" s="13"/>
      <c r="I16" s="13"/>
      <c r="J16" s="13"/>
      <c r="K16" s="13">
        <v>1316</v>
      </c>
      <c r="L16" s="13">
        <v>10</v>
      </c>
      <c r="M16" s="13">
        <v>10</v>
      </c>
      <c r="N16" s="13">
        <v>76</v>
      </c>
      <c r="O16" s="13">
        <v>338.84</v>
      </c>
      <c r="P16" s="13">
        <v>0</v>
      </c>
      <c r="Q16" s="13">
        <f t="shared" si="0"/>
        <v>5</v>
      </c>
      <c r="R16" s="13" t="str">
        <f t="shared" si="1"/>
        <v>n.a.</v>
      </c>
      <c r="S16" s="13" t="str">
        <f t="shared" si="2"/>
        <v>n.a.</v>
      </c>
      <c r="T16" s="13">
        <v>25</v>
      </c>
    </row>
    <row r="17" spans="1:20" ht="15" customHeight="1" x14ac:dyDescent="0.35">
      <c r="A17" s="12">
        <v>3135506</v>
      </c>
      <c r="B17" s="12" t="s">
        <v>119</v>
      </c>
      <c r="C17" s="13" t="s">
        <v>95</v>
      </c>
      <c r="D17" s="13" t="s">
        <v>120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2246</v>
      </c>
      <c r="L17" s="13">
        <v>120</v>
      </c>
      <c r="M17" s="13">
        <v>47</v>
      </c>
      <c r="N17" s="13">
        <v>15</v>
      </c>
      <c r="O17" s="13">
        <v>357.8</v>
      </c>
      <c r="P17" s="13">
        <v>0</v>
      </c>
      <c r="Q17" s="13">
        <f t="shared" si="0"/>
        <v>0</v>
      </c>
      <c r="R17" s="13" t="str">
        <f t="shared" si="1"/>
        <v>OK</v>
      </c>
      <c r="S17" s="13" t="str">
        <f t="shared" si="2"/>
        <v>OK</v>
      </c>
      <c r="T17" s="13">
        <v>16.260000000000002</v>
      </c>
    </row>
    <row r="18" spans="1:20" ht="15" customHeight="1" x14ac:dyDescent="0.35">
      <c r="A18" s="12">
        <v>3137700</v>
      </c>
      <c r="B18" s="12" t="s">
        <v>121</v>
      </c>
      <c r="C18" s="13" t="s">
        <v>95</v>
      </c>
      <c r="D18" s="13" t="s">
        <v>96</v>
      </c>
      <c r="E18" s="13">
        <v>0</v>
      </c>
      <c r="F18" s="13"/>
      <c r="G18" s="13">
        <v>0</v>
      </c>
      <c r="H18" s="13">
        <v>0</v>
      </c>
      <c r="I18" s="13">
        <v>0</v>
      </c>
      <c r="J18" s="13"/>
      <c r="K18" s="13">
        <v>2251</v>
      </c>
      <c r="L18" s="13">
        <v>68</v>
      </c>
      <c r="M18" s="13">
        <v>68</v>
      </c>
      <c r="N18" s="13">
        <v>204</v>
      </c>
      <c r="O18" s="13">
        <v>507.62</v>
      </c>
      <c r="P18" s="13">
        <v>0</v>
      </c>
      <c r="Q18" s="13">
        <f t="shared" si="0"/>
        <v>2</v>
      </c>
      <c r="R18" s="13" t="str">
        <f t="shared" si="1"/>
        <v>OK</v>
      </c>
      <c r="S18" s="13" t="str">
        <f t="shared" si="2"/>
        <v>n.a.</v>
      </c>
      <c r="T18" s="13">
        <v>19</v>
      </c>
    </row>
    <row r="19" spans="1:20" ht="15" customHeight="1" x14ac:dyDescent="0.35">
      <c r="A19" s="12">
        <v>3138609</v>
      </c>
      <c r="B19" s="12" t="s">
        <v>122</v>
      </c>
      <c r="C19" s="13" t="s">
        <v>95</v>
      </c>
      <c r="D19" s="13" t="s">
        <v>120</v>
      </c>
      <c r="E19" s="13">
        <v>0</v>
      </c>
      <c r="F19" s="13"/>
      <c r="G19" s="13"/>
      <c r="H19" s="13"/>
      <c r="I19" s="13"/>
      <c r="J19" s="13"/>
      <c r="K19" s="13">
        <v>6828</v>
      </c>
      <c r="L19" s="13">
        <v>402</v>
      </c>
      <c r="M19" s="13">
        <v>402</v>
      </c>
      <c r="N19" s="13">
        <v>1206</v>
      </c>
      <c r="O19" s="13">
        <v>643.26</v>
      </c>
      <c r="P19" s="13">
        <v>0</v>
      </c>
      <c r="Q19" s="13">
        <f t="shared" si="0"/>
        <v>5</v>
      </c>
      <c r="R19" s="13" t="str">
        <f t="shared" si="1"/>
        <v>n.a.</v>
      </c>
      <c r="S19" s="13" t="str">
        <f t="shared" si="2"/>
        <v>n.a.</v>
      </c>
      <c r="T19" s="13">
        <v>55</v>
      </c>
    </row>
    <row r="20" spans="1:20" ht="15" customHeight="1" x14ac:dyDescent="0.35">
      <c r="A20" s="12">
        <v>3139409</v>
      </c>
      <c r="B20" s="12" t="s">
        <v>123</v>
      </c>
      <c r="C20" s="13" t="s">
        <v>95</v>
      </c>
      <c r="D20" s="13" t="s">
        <v>124</v>
      </c>
      <c r="E20" s="13">
        <v>25620</v>
      </c>
      <c r="F20" s="13">
        <v>0</v>
      </c>
      <c r="G20" s="13"/>
      <c r="H20" s="13">
        <v>0</v>
      </c>
      <c r="I20" s="13">
        <v>30</v>
      </c>
      <c r="J20" s="13">
        <v>0</v>
      </c>
      <c r="K20" s="13">
        <v>17950</v>
      </c>
      <c r="L20" s="13">
        <v>1240</v>
      </c>
      <c r="M20" s="13">
        <v>1240</v>
      </c>
      <c r="N20" s="13">
        <v>480</v>
      </c>
      <c r="O20" s="13">
        <v>4072</v>
      </c>
      <c r="P20" s="13">
        <v>3.5</v>
      </c>
      <c r="Q20" s="13">
        <f t="shared" si="0"/>
        <v>1</v>
      </c>
      <c r="R20" s="13" t="str">
        <f t="shared" si="1"/>
        <v>n.a.</v>
      </c>
      <c r="S20" s="13" t="str">
        <f t="shared" si="2"/>
        <v>OK</v>
      </c>
      <c r="T20" s="13">
        <v>172.35</v>
      </c>
    </row>
    <row r="21" spans="1:20" ht="15" customHeight="1" x14ac:dyDescent="0.35">
      <c r="A21" s="12">
        <v>3139508</v>
      </c>
      <c r="B21" s="12" t="s">
        <v>125</v>
      </c>
      <c r="C21" s="13" t="s">
        <v>95</v>
      </c>
      <c r="D21" s="13" t="s">
        <v>96</v>
      </c>
      <c r="E21" s="13">
        <v>6628</v>
      </c>
      <c r="F21" s="13"/>
      <c r="G21" s="13"/>
      <c r="H21" s="13"/>
      <c r="I21" s="13">
        <v>0</v>
      </c>
      <c r="J21" s="13">
        <v>0</v>
      </c>
      <c r="K21" s="13">
        <v>6631</v>
      </c>
      <c r="L21" s="13">
        <v>458</v>
      </c>
      <c r="M21" s="13">
        <v>458</v>
      </c>
      <c r="N21" s="13">
        <v>1230</v>
      </c>
      <c r="O21" s="13">
        <v>674.05</v>
      </c>
      <c r="P21" s="13">
        <v>0</v>
      </c>
      <c r="Q21" s="13">
        <f t="shared" si="0"/>
        <v>3</v>
      </c>
      <c r="R21" s="13" t="str">
        <f t="shared" si="1"/>
        <v>n.a.</v>
      </c>
      <c r="S21" s="13" t="str">
        <f t="shared" si="2"/>
        <v>n.a.</v>
      </c>
      <c r="T21" s="13">
        <v>56.7</v>
      </c>
    </row>
    <row r="22" spans="1:20" ht="15" customHeight="1" x14ac:dyDescent="0.35">
      <c r="A22" s="12">
        <v>3139607</v>
      </c>
      <c r="B22" s="12" t="s">
        <v>126</v>
      </c>
      <c r="C22" s="13" t="s">
        <v>95</v>
      </c>
      <c r="D22" s="13" t="s">
        <v>96</v>
      </c>
      <c r="E22" s="13">
        <v>5752</v>
      </c>
      <c r="F22" s="13">
        <v>0</v>
      </c>
      <c r="G22" s="13">
        <v>6903</v>
      </c>
      <c r="H22" s="13">
        <v>0</v>
      </c>
      <c r="I22" s="13">
        <v>373</v>
      </c>
      <c r="J22" s="13">
        <v>0</v>
      </c>
      <c r="K22" s="13">
        <v>9443</v>
      </c>
      <c r="L22" s="13">
        <v>1045</v>
      </c>
      <c r="M22" s="13">
        <v>1045</v>
      </c>
      <c r="N22" s="13">
        <v>1045</v>
      </c>
      <c r="O22" s="13">
        <v>1145.48</v>
      </c>
      <c r="P22" s="13">
        <v>1145.48</v>
      </c>
      <c r="Q22" s="13">
        <f t="shared" si="0"/>
        <v>0</v>
      </c>
      <c r="R22" s="13" t="str">
        <f t="shared" si="1"/>
        <v>OK</v>
      </c>
      <c r="S22" s="13" t="str">
        <f t="shared" si="2"/>
        <v>OK</v>
      </c>
      <c r="T22" s="13">
        <v>160</v>
      </c>
    </row>
    <row r="23" spans="1:20" ht="15" customHeight="1" x14ac:dyDescent="0.35">
      <c r="A23" s="12">
        <v>3140001</v>
      </c>
      <c r="B23" s="12" t="s">
        <v>127</v>
      </c>
      <c r="C23" s="13" t="s">
        <v>95</v>
      </c>
      <c r="D23" s="13" t="s">
        <v>128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20695</v>
      </c>
      <c r="L23" s="13">
        <v>988</v>
      </c>
      <c r="M23" s="13">
        <v>757</v>
      </c>
      <c r="N23" s="13">
        <v>4</v>
      </c>
      <c r="O23" s="13">
        <v>2004.12</v>
      </c>
      <c r="P23" s="13">
        <v>0</v>
      </c>
      <c r="Q23" s="13">
        <f t="shared" si="0"/>
        <v>0</v>
      </c>
      <c r="R23" s="13" t="str">
        <f t="shared" si="1"/>
        <v>OK</v>
      </c>
      <c r="S23" s="13" t="str">
        <f t="shared" si="2"/>
        <v>OK</v>
      </c>
      <c r="T23" s="13">
        <v>322.55</v>
      </c>
    </row>
    <row r="24" spans="1:20" ht="15" customHeight="1" x14ac:dyDescent="0.35">
      <c r="A24" s="12">
        <v>3143906</v>
      </c>
      <c r="B24" s="12" t="s">
        <v>129</v>
      </c>
      <c r="C24" s="13" t="s">
        <v>95</v>
      </c>
      <c r="D24" s="13" t="s">
        <v>130</v>
      </c>
      <c r="E24" s="13">
        <v>23735</v>
      </c>
      <c r="F24" s="13">
        <v>0</v>
      </c>
      <c r="G24" s="13">
        <v>0</v>
      </c>
      <c r="H24" s="13">
        <v>0</v>
      </c>
      <c r="I24" s="13"/>
      <c r="J24" s="13"/>
      <c r="K24" s="13">
        <v>38957</v>
      </c>
      <c r="L24" s="13">
        <v>2592</v>
      </c>
      <c r="M24" s="13">
        <v>2096</v>
      </c>
      <c r="N24" s="13">
        <v>1966</v>
      </c>
      <c r="O24" s="13">
        <v>5547.29</v>
      </c>
      <c r="P24" s="13">
        <v>1417.87</v>
      </c>
      <c r="Q24" s="13">
        <f t="shared" si="0"/>
        <v>2</v>
      </c>
      <c r="R24" s="13" t="str">
        <f t="shared" si="1"/>
        <v>Inconsistente – residencial&gt;total</v>
      </c>
      <c r="S24" s="13" t="str">
        <f t="shared" si="2"/>
        <v>OK</v>
      </c>
      <c r="T24" s="13">
        <v>492.76</v>
      </c>
    </row>
    <row r="25" spans="1:20" ht="15" customHeight="1" x14ac:dyDescent="0.35">
      <c r="A25" s="12">
        <v>3145851</v>
      </c>
      <c r="B25" s="12" t="s">
        <v>131</v>
      </c>
      <c r="C25" s="13" t="s">
        <v>95</v>
      </c>
      <c r="D25" s="13" t="s">
        <v>174</v>
      </c>
      <c r="E25" s="13">
        <v>0</v>
      </c>
      <c r="F25" s="13"/>
      <c r="G25" s="13"/>
      <c r="H25" s="13"/>
      <c r="I25" s="13"/>
      <c r="J25" s="13"/>
      <c r="K25" s="13">
        <v>826</v>
      </c>
      <c r="L25" s="13">
        <v>6</v>
      </c>
      <c r="M25" s="13">
        <v>5</v>
      </c>
      <c r="N25" s="13">
        <v>50</v>
      </c>
      <c r="O25" s="13">
        <v>256</v>
      </c>
      <c r="P25" s="13">
        <v>0</v>
      </c>
      <c r="Q25" s="13">
        <f t="shared" si="0"/>
        <v>5</v>
      </c>
      <c r="R25" s="13" t="str">
        <f t="shared" si="1"/>
        <v>n.a.</v>
      </c>
      <c r="S25" s="13" t="str">
        <f t="shared" si="2"/>
        <v>n.a.</v>
      </c>
      <c r="T25" s="13">
        <v>9.5</v>
      </c>
    </row>
    <row r="26" spans="1:20" ht="15" customHeight="1" x14ac:dyDescent="0.35">
      <c r="A26" s="12">
        <v>3150604</v>
      </c>
      <c r="B26" s="12" t="s">
        <v>132</v>
      </c>
      <c r="C26" s="13" t="s">
        <v>95</v>
      </c>
      <c r="D26" s="13" t="s">
        <v>133</v>
      </c>
      <c r="E26" s="13">
        <v>0</v>
      </c>
      <c r="F26" s="13"/>
      <c r="G26" s="13"/>
      <c r="H26" s="13"/>
      <c r="I26" s="13"/>
      <c r="J26" s="13"/>
      <c r="K26" s="13">
        <v>1709</v>
      </c>
      <c r="L26" s="13">
        <v>20</v>
      </c>
      <c r="M26" s="13">
        <v>20</v>
      </c>
      <c r="N26" s="13">
        <v>50</v>
      </c>
      <c r="O26" s="13">
        <v>267.49</v>
      </c>
      <c r="P26" s="13">
        <v>0</v>
      </c>
      <c r="Q26" s="13">
        <f t="shared" si="0"/>
        <v>5</v>
      </c>
      <c r="R26" s="13" t="str">
        <f t="shared" si="1"/>
        <v>n.a.</v>
      </c>
      <c r="S26" s="13" t="str">
        <f t="shared" si="2"/>
        <v>n.a.</v>
      </c>
      <c r="T26" s="13">
        <v>10</v>
      </c>
    </row>
    <row r="27" spans="1:20" ht="15" customHeight="1" x14ac:dyDescent="0.35">
      <c r="A27" s="12">
        <v>3151909</v>
      </c>
      <c r="B27" s="12" t="s">
        <v>134</v>
      </c>
      <c r="C27" s="13" t="s">
        <v>95</v>
      </c>
      <c r="D27" s="13" t="s">
        <v>96</v>
      </c>
      <c r="E27" s="13">
        <v>1543</v>
      </c>
      <c r="F27" s="13"/>
      <c r="G27" s="13"/>
      <c r="H27" s="13"/>
      <c r="I27" s="13"/>
      <c r="J27" s="13"/>
      <c r="K27" s="13">
        <v>1543</v>
      </c>
      <c r="L27" s="13">
        <v>12</v>
      </c>
      <c r="M27" s="13">
        <v>12</v>
      </c>
      <c r="N27" s="13">
        <v>60</v>
      </c>
      <c r="O27" s="13">
        <v>164.72</v>
      </c>
      <c r="P27" s="13">
        <v>0</v>
      </c>
      <c r="Q27" s="13">
        <f t="shared" si="0"/>
        <v>5</v>
      </c>
      <c r="R27" s="13" t="str">
        <f t="shared" si="1"/>
        <v>n.a.</v>
      </c>
      <c r="S27" s="13" t="str">
        <f t="shared" si="2"/>
        <v>n.a.</v>
      </c>
      <c r="T27" s="13">
        <v>15</v>
      </c>
    </row>
    <row r="28" spans="1:20" ht="15" customHeight="1" x14ac:dyDescent="0.35">
      <c r="A28" s="12">
        <v>3152105</v>
      </c>
      <c r="B28" s="12" t="s">
        <v>135</v>
      </c>
      <c r="C28" s="13" t="s">
        <v>95</v>
      </c>
      <c r="D28" s="13" t="s">
        <v>136</v>
      </c>
      <c r="E28" s="13">
        <v>0</v>
      </c>
      <c r="F28" s="13">
        <v>0</v>
      </c>
      <c r="G28" s="13"/>
      <c r="H28" s="13">
        <v>0</v>
      </c>
      <c r="I28" s="13">
        <v>0</v>
      </c>
      <c r="J28" s="13">
        <v>0</v>
      </c>
      <c r="K28" s="13">
        <v>16515</v>
      </c>
      <c r="L28" s="13">
        <v>965</v>
      </c>
      <c r="M28" s="13">
        <v>965</v>
      </c>
      <c r="N28" s="13">
        <v>1112</v>
      </c>
      <c r="O28" s="13">
        <v>2800</v>
      </c>
      <c r="P28" s="13">
        <v>0</v>
      </c>
      <c r="Q28" s="13">
        <f t="shared" si="0"/>
        <v>1</v>
      </c>
      <c r="R28" s="13" t="str">
        <f t="shared" si="1"/>
        <v>n.a.</v>
      </c>
      <c r="S28" s="13" t="str">
        <f t="shared" si="2"/>
        <v>OK</v>
      </c>
      <c r="T28" s="13">
        <v>410</v>
      </c>
    </row>
    <row r="29" spans="1:20" ht="15" customHeight="1" x14ac:dyDescent="0.35">
      <c r="A29" s="12">
        <v>3154002</v>
      </c>
      <c r="B29" s="12" t="s">
        <v>137</v>
      </c>
      <c r="C29" s="13" t="s">
        <v>95</v>
      </c>
      <c r="D29" s="13" t="s">
        <v>96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6131</v>
      </c>
      <c r="L29" s="13">
        <v>73</v>
      </c>
      <c r="M29" s="13">
        <v>73</v>
      </c>
      <c r="N29" s="13">
        <v>143</v>
      </c>
      <c r="O29" s="13">
        <v>895.74</v>
      </c>
      <c r="P29" s="13">
        <v>0</v>
      </c>
      <c r="Q29" s="13">
        <f t="shared" si="0"/>
        <v>0</v>
      </c>
      <c r="R29" s="13" t="str">
        <f t="shared" si="1"/>
        <v>OK</v>
      </c>
      <c r="S29" s="13" t="str">
        <f t="shared" si="2"/>
        <v>OK</v>
      </c>
      <c r="T29" s="13">
        <v>59.22</v>
      </c>
    </row>
    <row r="30" spans="1:20" ht="15" customHeight="1" x14ac:dyDescent="0.35">
      <c r="A30" s="12">
        <v>3154101</v>
      </c>
      <c r="B30" s="12" t="s">
        <v>138</v>
      </c>
      <c r="C30" s="13" t="s">
        <v>95</v>
      </c>
      <c r="D30" s="13" t="s">
        <v>96</v>
      </c>
      <c r="E30" s="13">
        <v>0</v>
      </c>
      <c r="F30" s="13">
        <v>0</v>
      </c>
      <c r="G30" s="13">
        <v>3210</v>
      </c>
      <c r="H30" s="13">
        <v>0</v>
      </c>
      <c r="I30" s="13">
        <v>0</v>
      </c>
      <c r="J30" s="13">
        <v>0</v>
      </c>
      <c r="K30" s="13">
        <v>3210</v>
      </c>
      <c r="L30" s="13">
        <v>400</v>
      </c>
      <c r="M30" s="13">
        <v>400</v>
      </c>
      <c r="N30" s="13">
        <v>7</v>
      </c>
      <c r="O30" s="13">
        <v>120</v>
      </c>
      <c r="P30" s="13">
        <v>0</v>
      </c>
      <c r="Q30" s="13">
        <f t="shared" si="0"/>
        <v>0</v>
      </c>
      <c r="R30" s="13" t="str">
        <f t="shared" si="1"/>
        <v>OK</v>
      </c>
      <c r="S30" s="13" t="str">
        <f t="shared" si="2"/>
        <v>OK</v>
      </c>
      <c r="T30" s="13">
        <v>44</v>
      </c>
    </row>
    <row r="31" spans="1:20" ht="15" customHeight="1" x14ac:dyDescent="0.35">
      <c r="A31" s="12">
        <v>3154150</v>
      </c>
      <c r="B31" s="12" t="s">
        <v>139</v>
      </c>
      <c r="C31" s="13" t="s">
        <v>95</v>
      </c>
      <c r="D31" s="13" t="s">
        <v>140</v>
      </c>
      <c r="E31" s="13">
        <v>0</v>
      </c>
      <c r="F31" s="13"/>
      <c r="G31" s="13"/>
      <c r="H31" s="13"/>
      <c r="I31" s="13"/>
      <c r="J31" s="13"/>
      <c r="K31" s="13">
        <v>1640</v>
      </c>
      <c r="L31" s="13">
        <v>26</v>
      </c>
      <c r="M31" s="13">
        <v>24</v>
      </c>
      <c r="N31" s="13">
        <v>4</v>
      </c>
      <c r="O31" s="13">
        <v>600.4</v>
      </c>
      <c r="P31" s="13">
        <v>0</v>
      </c>
      <c r="Q31" s="13">
        <f t="shared" si="0"/>
        <v>5</v>
      </c>
      <c r="R31" s="13" t="str">
        <f t="shared" si="1"/>
        <v>n.a.</v>
      </c>
      <c r="S31" s="13" t="str">
        <f t="shared" si="2"/>
        <v>n.a.</v>
      </c>
      <c r="T31" s="13">
        <v>20</v>
      </c>
    </row>
    <row r="32" spans="1:20" ht="15" customHeight="1" x14ac:dyDescent="0.35">
      <c r="A32" s="12">
        <v>3165701</v>
      </c>
      <c r="B32" s="12" t="s">
        <v>141</v>
      </c>
      <c r="C32" s="13" t="s">
        <v>95</v>
      </c>
      <c r="D32" s="13" t="s">
        <v>96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1357</v>
      </c>
      <c r="L32" s="13">
        <v>44</v>
      </c>
      <c r="M32" s="13">
        <v>44</v>
      </c>
      <c r="N32" s="13">
        <v>113</v>
      </c>
      <c r="O32" s="13">
        <v>153.56</v>
      </c>
      <c r="P32" s="13">
        <v>0</v>
      </c>
      <c r="Q32" s="13">
        <f t="shared" si="0"/>
        <v>0</v>
      </c>
      <c r="R32" s="13" t="str">
        <f t="shared" si="1"/>
        <v>OK</v>
      </c>
      <c r="S32" s="13" t="str">
        <f t="shared" si="2"/>
        <v>OK</v>
      </c>
      <c r="T32" s="13">
        <v>24.51</v>
      </c>
    </row>
    <row r="33" spans="1:20" ht="15" customHeight="1" x14ac:dyDescent="0.35">
      <c r="A33" s="12">
        <v>3161403</v>
      </c>
      <c r="B33" s="12" t="s">
        <v>142</v>
      </c>
      <c r="C33" s="13" t="s">
        <v>95</v>
      </c>
      <c r="D33" s="13" t="s">
        <v>143</v>
      </c>
      <c r="E33" s="13">
        <v>0</v>
      </c>
      <c r="F33" s="13"/>
      <c r="G33" s="13"/>
      <c r="H33" s="13"/>
      <c r="I33" s="13"/>
      <c r="J33" s="13"/>
      <c r="K33" s="13">
        <v>1300</v>
      </c>
      <c r="L33" s="13">
        <v>10</v>
      </c>
      <c r="M33" s="13">
        <v>10</v>
      </c>
      <c r="N33" s="13">
        <v>15</v>
      </c>
      <c r="O33" s="13">
        <v>559.20000000000005</v>
      </c>
      <c r="P33" s="13">
        <v>0</v>
      </c>
      <c r="Q33" s="13">
        <f t="shared" si="0"/>
        <v>5</v>
      </c>
      <c r="R33" s="13" t="str">
        <f t="shared" si="1"/>
        <v>n.a.</v>
      </c>
      <c r="S33" s="13" t="str">
        <f t="shared" si="2"/>
        <v>n.a.</v>
      </c>
      <c r="T33" s="13">
        <v>19</v>
      </c>
    </row>
    <row r="34" spans="1:20" ht="15" customHeight="1" x14ac:dyDescent="0.35">
      <c r="A34" s="14">
        <v>3168051</v>
      </c>
      <c r="B34" s="14" t="s">
        <v>144</v>
      </c>
      <c r="C34" s="15" t="s">
        <v>107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>
        <f t="shared" si="0"/>
        <v>6</v>
      </c>
      <c r="R34" s="15" t="str">
        <f t="shared" si="1"/>
        <v>n.a.</v>
      </c>
      <c r="S34" s="15" t="str">
        <f t="shared" si="2"/>
        <v>n.a.</v>
      </c>
      <c r="T34" s="15"/>
    </row>
    <row r="35" spans="1:20" ht="15" customHeight="1" x14ac:dyDescent="0.35">
      <c r="A35" s="14">
        <v>3169000</v>
      </c>
      <c r="B35" s="14" t="s">
        <v>146</v>
      </c>
      <c r="C35" s="15" t="s">
        <v>107</v>
      </c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>
        <f t="shared" si="0"/>
        <v>6</v>
      </c>
      <c r="R35" s="15" t="str">
        <f t="shared" si="1"/>
        <v>n.a.</v>
      </c>
      <c r="S35" s="15" t="str">
        <f t="shared" si="2"/>
        <v>n.a.</v>
      </c>
      <c r="T35" s="15"/>
    </row>
    <row r="36" spans="1:20" ht="15" customHeight="1" x14ac:dyDescent="0.35">
      <c r="A36" s="12">
        <v>3169208</v>
      </c>
      <c r="B36" s="12" t="s">
        <v>148</v>
      </c>
      <c r="C36" s="13" t="s">
        <v>95</v>
      </c>
      <c r="D36" s="13" t="s">
        <v>96</v>
      </c>
      <c r="E36" s="13">
        <v>0</v>
      </c>
      <c r="F36" s="13"/>
      <c r="G36" s="13">
        <v>0</v>
      </c>
      <c r="H36" s="13"/>
      <c r="I36" s="13"/>
      <c r="J36" s="13"/>
      <c r="K36" s="13">
        <v>2681</v>
      </c>
      <c r="L36" s="13">
        <v>20</v>
      </c>
      <c r="M36" s="13">
        <v>20</v>
      </c>
      <c r="N36" s="13">
        <v>40</v>
      </c>
      <c r="O36" s="13">
        <v>353.09</v>
      </c>
      <c r="P36" s="13">
        <v>0</v>
      </c>
      <c r="Q36" s="13">
        <f t="shared" si="0"/>
        <v>4</v>
      </c>
      <c r="R36" s="13" t="str">
        <f t="shared" si="1"/>
        <v>OK</v>
      </c>
      <c r="S36" s="13" t="str">
        <f t="shared" si="2"/>
        <v>n.a.</v>
      </c>
      <c r="T36" s="13">
        <v>25</v>
      </c>
    </row>
    <row r="37" spans="1:20" ht="15" customHeight="1" x14ac:dyDescent="0.35">
      <c r="A37" s="12">
        <v>3171154</v>
      </c>
      <c r="B37" s="12" t="s">
        <v>149</v>
      </c>
      <c r="C37" s="13" t="s">
        <v>95</v>
      </c>
      <c r="D37" s="13" t="s">
        <v>96</v>
      </c>
      <c r="E37" s="13">
        <v>793</v>
      </c>
      <c r="F37" s="13">
        <v>0</v>
      </c>
      <c r="G37" s="13">
        <v>867</v>
      </c>
      <c r="H37" s="13">
        <v>0</v>
      </c>
      <c r="I37" s="13">
        <v>5</v>
      </c>
      <c r="J37" s="13">
        <v>113</v>
      </c>
      <c r="K37" s="13">
        <v>670</v>
      </c>
      <c r="L37" s="13">
        <v>5</v>
      </c>
      <c r="M37" s="13">
        <v>5</v>
      </c>
      <c r="N37" s="13">
        <v>120</v>
      </c>
      <c r="O37" s="13">
        <v>64.900000000000006</v>
      </c>
      <c r="P37" s="13">
        <v>58.41</v>
      </c>
      <c r="Q37" s="13">
        <f t="shared" si="0"/>
        <v>0</v>
      </c>
      <c r="R37" s="13" t="str">
        <f t="shared" si="1"/>
        <v>OK</v>
      </c>
      <c r="S37" s="13" t="str">
        <f t="shared" si="2"/>
        <v>OK</v>
      </c>
      <c r="T37" s="13">
        <v>13</v>
      </c>
    </row>
    <row r="38" spans="1:20" ht="15" customHeight="1" x14ac:dyDescent="0.35">
      <c r="A38" s="12">
        <v>3171303</v>
      </c>
      <c r="B38" s="12" t="s">
        <v>150</v>
      </c>
      <c r="C38" s="13" t="s">
        <v>95</v>
      </c>
      <c r="D38" s="13" t="s">
        <v>96</v>
      </c>
      <c r="E38" s="13">
        <v>556</v>
      </c>
      <c r="F38" s="13">
        <v>11</v>
      </c>
      <c r="G38" s="13">
        <v>579</v>
      </c>
      <c r="H38" s="13">
        <v>11</v>
      </c>
      <c r="I38" s="13">
        <v>83</v>
      </c>
      <c r="J38" s="13">
        <v>81</v>
      </c>
      <c r="K38" s="13">
        <v>20370</v>
      </c>
      <c r="L38" s="13">
        <v>488</v>
      </c>
      <c r="M38" s="13">
        <v>467</v>
      </c>
      <c r="N38" s="13">
        <v>158</v>
      </c>
      <c r="O38" s="13">
        <v>3651.79</v>
      </c>
      <c r="P38" s="13">
        <v>64.709999999999994</v>
      </c>
      <c r="Q38" s="13">
        <f t="shared" si="0"/>
        <v>0</v>
      </c>
      <c r="R38" s="13" t="str">
        <f t="shared" si="1"/>
        <v>OK</v>
      </c>
      <c r="S38" s="13" t="str">
        <f t="shared" si="2"/>
        <v>OK</v>
      </c>
      <c r="T38" s="13">
        <v>229</v>
      </c>
    </row>
    <row r="39" spans="1:20" ht="15" customHeight="1" x14ac:dyDescent="0.35">
      <c r="A39" s="12">
        <v>3167202</v>
      </c>
      <c r="B39" s="12" t="s">
        <v>151</v>
      </c>
      <c r="C39" s="13" t="s">
        <v>95</v>
      </c>
      <c r="D39" s="13" t="s">
        <v>152</v>
      </c>
      <c r="E39" s="13">
        <v>0</v>
      </c>
      <c r="F39" s="13"/>
      <c r="G39" s="13"/>
      <c r="H39" s="13"/>
      <c r="I39" s="13">
        <v>0</v>
      </c>
      <c r="J39" s="13"/>
      <c r="K39" s="13">
        <v>80055</v>
      </c>
      <c r="L39" s="13">
        <v>12590</v>
      </c>
      <c r="M39" s="13">
        <v>8314</v>
      </c>
      <c r="N39" s="13">
        <v>2920</v>
      </c>
      <c r="O39" s="13">
        <v>11657.7</v>
      </c>
      <c r="P39" s="13">
        <v>35.18</v>
      </c>
      <c r="Q39" s="13">
        <f t="shared" si="0"/>
        <v>4</v>
      </c>
      <c r="R39" s="13" t="str">
        <f t="shared" si="1"/>
        <v>n.a.</v>
      </c>
      <c r="S39" s="13" t="str">
        <f t="shared" si="2"/>
        <v>n.a.</v>
      </c>
      <c r="T39" s="13">
        <v>1033.23</v>
      </c>
    </row>
    <row r="40" spans="1:20" ht="15" customHeight="1" x14ac:dyDescent="0.35">
      <c r="A40" s="12">
        <v>3146305</v>
      </c>
      <c r="B40" s="12" t="s">
        <v>153</v>
      </c>
      <c r="C40" s="13" t="s">
        <v>95</v>
      </c>
      <c r="D40" s="13" t="s">
        <v>175</v>
      </c>
      <c r="E40" s="13">
        <v>2000</v>
      </c>
      <c r="F40" s="13">
        <v>0</v>
      </c>
      <c r="G40" s="13"/>
      <c r="H40" s="13">
        <v>0</v>
      </c>
      <c r="I40" s="13">
        <v>0</v>
      </c>
      <c r="J40" s="13">
        <v>0</v>
      </c>
      <c r="K40" s="13">
        <v>4650</v>
      </c>
      <c r="L40" s="13">
        <v>750</v>
      </c>
      <c r="M40" s="13">
        <v>750</v>
      </c>
      <c r="N40" s="13">
        <v>2300</v>
      </c>
      <c r="O40" s="13">
        <v>363</v>
      </c>
      <c r="P40" s="13">
        <v>181</v>
      </c>
      <c r="Q40" s="13">
        <f t="shared" si="0"/>
        <v>1</v>
      </c>
      <c r="R40" s="13" t="str">
        <f t="shared" si="1"/>
        <v>n.a.</v>
      </c>
      <c r="S40" s="13" t="str">
        <f t="shared" si="2"/>
        <v>OK</v>
      </c>
      <c r="T40" s="13">
        <v>35</v>
      </c>
    </row>
    <row r="41" spans="1:20" ht="15" customHeight="1" x14ac:dyDescent="0.35">
      <c r="A41" s="12">
        <v>3120607</v>
      </c>
      <c r="B41" s="12" t="s">
        <v>155</v>
      </c>
      <c r="C41" s="13" t="s">
        <v>95</v>
      </c>
      <c r="D41" s="13" t="s">
        <v>176</v>
      </c>
      <c r="E41" s="13">
        <v>0</v>
      </c>
      <c r="F41" s="13"/>
      <c r="G41" s="13">
        <v>0</v>
      </c>
      <c r="H41" s="13"/>
      <c r="I41" s="13"/>
      <c r="J41" s="13"/>
      <c r="K41" s="13">
        <v>1714</v>
      </c>
      <c r="L41" s="13">
        <v>190</v>
      </c>
      <c r="M41" s="13">
        <v>190</v>
      </c>
      <c r="N41" s="13">
        <v>1540</v>
      </c>
      <c r="O41" s="13">
        <v>267</v>
      </c>
      <c r="P41" s="13">
        <v>0</v>
      </c>
      <c r="Q41" s="13">
        <f t="shared" si="0"/>
        <v>4</v>
      </c>
      <c r="R41" s="13" t="str">
        <f t="shared" si="1"/>
        <v>OK</v>
      </c>
      <c r="S41" s="13" t="str">
        <f t="shared" si="2"/>
        <v>n.a.</v>
      </c>
      <c r="T41" s="13">
        <v>25</v>
      </c>
    </row>
    <row r="42" spans="1:20" ht="15" customHeight="1" x14ac:dyDescent="0.35">
      <c r="A42" s="12">
        <v>3115706</v>
      </c>
      <c r="B42" s="12" t="s">
        <v>157</v>
      </c>
      <c r="C42" s="13" t="s">
        <v>95</v>
      </c>
      <c r="D42" s="13" t="s">
        <v>96</v>
      </c>
      <c r="E42" s="13">
        <v>0</v>
      </c>
      <c r="F42" s="13"/>
      <c r="G42" s="13"/>
      <c r="H42" s="13"/>
      <c r="I42" s="13"/>
      <c r="J42" s="13"/>
      <c r="K42" s="13">
        <v>3350</v>
      </c>
      <c r="L42" s="13">
        <v>1000</v>
      </c>
      <c r="M42" s="13">
        <v>1000</v>
      </c>
      <c r="N42" s="13">
        <v>1000</v>
      </c>
      <c r="O42" s="13">
        <v>567.38</v>
      </c>
      <c r="P42" s="13">
        <v>0</v>
      </c>
      <c r="Q42" s="13">
        <f t="shared" si="0"/>
        <v>5</v>
      </c>
      <c r="R42" s="13" t="str">
        <f t="shared" si="1"/>
        <v>n.a.</v>
      </c>
      <c r="S42" s="13" t="str">
        <f t="shared" si="2"/>
        <v>n.a.</v>
      </c>
      <c r="T42" s="13">
        <v>94.5</v>
      </c>
    </row>
    <row r="44" spans="1:20" ht="15" customHeight="1" x14ac:dyDescent="0.35">
      <c r="B44" s="9" t="s">
        <v>177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5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328125" defaultRowHeight="14.5" x14ac:dyDescent="0.35"/>
  <cols>
    <col min="1" max="1" width="10" customWidth="1"/>
    <col min="2" max="2" width="22" customWidth="1"/>
    <col min="3" max="5" width="20" customWidth="1"/>
    <col min="6" max="6" width="24" customWidth="1"/>
    <col min="7" max="9" width="26" customWidth="1"/>
    <col min="10" max="10" width="32" customWidth="1"/>
  </cols>
  <sheetData>
    <row r="1" spans="1:10" ht="17.25" customHeight="1" x14ac:dyDescent="0.4">
      <c r="A1" s="6" t="s">
        <v>178</v>
      </c>
    </row>
    <row r="2" spans="1:10" ht="45.75" customHeight="1" x14ac:dyDescent="0.35">
      <c r="A2" s="11" t="s">
        <v>63</v>
      </c>
      <c r="B2" s="11" t="s">
        <v>64</v>
      </c>
      <c r="C2" s="11" t="s">
        <v>179</v>
      </c>
      <c r="D2" s="11" t="s">
        <v>180</v>
      </c>
      <c r="E2" s="11" t="s">
        <v>181</v>
      </c>
      <c r="F2" s="11" t="s">
        <v>182</v>
      </c>
      <c r="G2" s="11" t="s">
        <v>183</v>
      </c>
      <c r="H2" s="11" t="s">
        <v>184</v>
      </c>
      <c r="I2" s="11" t="s">
        <v>185</v>
      </c>
      <c r="J2" s="11" t="s">
        <v>186</v>
      </c>
    </row>
    <row r="3" spans="1:10" ht="15" customHeight="1" x14ac:dyDescent="0.35">
      <c r="A3" s="12">
        <v>3100302</v>
      </c>
      <c r="B3" s="12" t="s">
        <v>94</v>
      </c>
      <c r="C3" s="13">
        <v>5039</v>
      </c>
      <c r="D3" s="13">
        <v>3073</v>
      </c>
      <c r="E3" s="13">
        <v>1966</v>
      </c>
      <c r="F3" s="13"/>
      <c r="G3" s="13" t="s">
        <v>187</v>
      </c>
      <c r="H3" s="13" t="str">
        <f t="shared" ref="H3:H42" si="0">IF(OR(C3="",C3=0),"Denominador ausente","OK")</f>
        <v>OK</v>
      </c>
      <c r="I3" s="13" t="str">
        <f t="shared" ref="I3:I42" si="1">IF(OR(F3="",F3=0),"Denominador ausente","OK")</f>
        <v>Denominador ausente</v>
      </c>
      <c r="J3" s="13" t="str">
        <f t="shared" ref="J3:J42" si="2">IF(AND(ISNUMBER(C3),ISNUMBER(F3),F3&gt;0,F3&lt;C3),"Incoerente – ICA/ICE menor que domicílios residenciais ocupados","OK")</f>
        <v>OK</v>
      </c>
    </row>
    <row r="4" spans="1:10" ht="15" customHeight="1" x14ac:dyDescent="0.35">
      <c r="A4" s="12">
        <v>3100401</v>
      </c>
      <c r="B4" s="12" t="s">
        <v>97</v>
      </c>
      <c r="C4" s="13">
        <v>1543</v>
      </c>
      <c r="D4" s="13">
        <v>1118</v>
      </c>
      <c r="E4" s="13">
        <v>425</v>
      </c>
      <c r="F4" s="13">
        <v>2035</v>
      </c>
      <c r="G4" s="13" t="s">
        <v>187</v>
      </c>
      <c r="H4" s="13" t="str">
        <f t="shared" si="0"/>
        <v>OK</v>
      </c>
      <c r="I4" s="13" t="str">
        <f t="shared" si="1"/>
        <v>OK</v>
      </c>
      <c r="J4" s="13" t="str">
        <f t="shared" si="2"/>
        <v>OK</v>
      </c>
    </row>
    <row r="5" spans="1:10" ht="15" customHeight="1" x14ac:dyDescent="0.35">
      <c r="A5" s="12">
        <v>3101102</v>
      </c>
      <c r="B5" s="12" t="s">
        <v>99</v>
      </c>
      <c r="C5" s="13">
        <v>9873</v>
      </c>
      <c r="D5" s="13">
        <v>8053</v>
      </c>
      <c r="E5" s="13">
        <v>1820</v>
      </c>
      <c r="F5" s="13">
        <v>12587</v>
      </c>
      <c r="G5" s="13" t="s">
        <v>187</v>
      </c>
      <c r="H5" s="13" t="str">
        <f t="shared" si="0"/>
        <v>OK</v>
      </c>
      <c r="I5" s="13" t="str">
        <f t="shared" si="1"/>
        <v>OK</v>
      </c>
      <c r="J5" s="13" t="str">
        <f t="shared" si="2"/>
        <v>OK</v>
      </c>
    </row>
    <row r="6" spans="1:10" ht="15" customHeight="1" x14ac:dyDescent="0.35">
      <c r="A6" s="12">
        <v>3108701</v>
      </c>
      <c r="B6" s="12" t="s">
        <v>100</v>
      </c>
      <c r="C6" s="13"/>
      <c r="D6" s="13"/>
      <c r="E6" s="13"/>
      <c r="F6" s="13"/>
      <c r="G6" s="13" t="s">
        <v>188</v>
      </c>
      <c r="H6" s="13" t="str">
        <f t="shared" si="0"/>
        <v>Denominador ausente</v>
      </c>
      <c r="I6" s="13" t="str">
        <f t="shared" si="1"/>
        <v>Denominador ausente</v>
      </c>
      <c r="J6" s="13" t="str">
        <f t="shared" si="2"/>
        <v>OK</v>
      </c>
    </row>
    <row r="7" spans="1:10" ht="15" customHeight="1" x14ac:dyDescent="0.35">
      <c r="A7" s="12">
        <v>3113107</v>
      </c>
      <c r="B7" s="12" t="s">
        <v>102</v>
      </c>
      <c r="C7" s="13">
        <v>1057</v>
      </c>
      <c r="D7" s="13">
        <v>456</v>
      </c>
      <c r="E7" s="13">
        <v>601</v>
      </c>
      <c r="F7" s="13"/>
      <c r="G7" s="13" t="s">
        <v>187</v>
      </c>
      <c r="H7" s="13" t="str">
        <f t="shared" si="0"/>
        <v>OK</v>
      </c>
      <c r="I7" s="13" t="str">
        <f t="shared" si="1"/>
        <v>Denominador ausente</v>
      </c>
      <c r="J7" s="13" t="str">
        <f t="shared" si="2"/>
        <v>OK</v>
      </c>
    </row>
    <row r="8" spans="1:10" ht="15" customHeight="1" x14ac:dyDescent="0.35">
      <c r="A8" s="16">
        <v>3113305</v>
      </c>
      <c r="B8" s="16" t="s">
        <v>104</v>
      </c>
      <c r="C8" s="17">
        <v>12515</v>
      </c>
      <c r="D8" s="17">
        <v>10479</v>
      </c>
      <c r="E8" s="17">
        <v>2036</v>
      </c>
      <c r="F8" s="17">
        <v>10517</v>
      </c>
      <c r="G8" s="17" t="s">
        <v>187</v>
      </c>
      <c r="H8" s="17" t="str">
        <f t="shared" si="0"/>
        <v>OK</v>
      </c>
      <c r="I8" s="17" t="str">
        <f t="shared" si="1"/>
        <v>OK</v>
      </c>
      <c r="J8" s="17" t="str">
        <f t="shared" si="2"/>
        <v>Incoerente – ICA/ICE menor que domicílios residenciais ocupados</v>
      </c>
    </row>
    <row r="9" spans="1:10" ht="15" customHeight="1" x14ac:dyDescent="0.35">
      <c r="A9" s="12">
        <v>3116001</v>
      </c>
      <c r="B9" s="12" t="s">
        <v>106</v>
      </c>
      <c r="C9" s="13">
        <v>2293</v>
      </c>
      <c r="D9" s="13">
        <v>1400</v>
      </c>
      <c r="E9" s="13">
        <v>893</v>
      </c>
      <c r="F9" s="13"/>
      <c r="G9" s="13" t="s">
        <v>187</v>
      </c>
      <c r="H9" s="13" t="str">
        <f t="shared" si="0"/>
        <v>OK</v>
      </c>
      <c r="I9" s="13" t="str">
        <f t="shared" si="1"/>
        <v>Denominador ausente</v>
      </c>
      <c r="J9" s="13" t="str">
        <f t="shared" si="2"/>
        <v>OK</v>
      </c>
    </row>
    <row r="10" spans="1:10" ht="15" customHeight="1" x14ac:dyDescent="0.35">
      <c r="A10" s="16">
        <v>3118403</v>
      </c>
      <c r="B10" s="16" t="s">
        <v>108</v>
      </c>
      <c r="C10" s="17">
        <v>8120</v>
      </c>
      <c r="D10" s="17">
        <v>6641</v>
      </c>
      <c r="E10" s="17">
        <v>1479</v>
      </c>
      <c r="F10" s="17">
        <v>7595</v>
      </c>
      <c r="G10" s="17" t="s">
        <v>187</v>
      </c>
      <c r="H10" s="17" t="str">
        <f t="shared" si="0"/>
        <v>OK</v>
      </c>
      <c r="I10" s="17" t="str">
        <f t="shared" si="1"/>
        <v>OK</v>
      </c>
      <c r="J10" s="17" t="str">
        <f t="shared" si="2"/>
        <v>Incoerente – ICA/ICE menor que domicílios residenciais ocupados</v>
      </c>
    </row>
    <row r="11" spans="1:10" ht="15" customHeight="1" x14ac:dyDescent="0.35">
      <c r="A11" s="12">
        <v>3127701</v>
      </c>
      <c r="B11" s="12" t="s">
        <v>109</v>
      </c>
      <c r="C11" s="13">
        <v>101387</v>
      </c>
      <c r="D11" s="13">
        <v>98135</v>
      </c>
      <c r="E11" s="13">
        <v>3252</v>
      </c>
      <c r="F11" s="13">
        <v>144207</v>
      </c>
      <c r="G11" s="13" t="s">
        <v>187</v>
      </c>
      <c r="H11" s="13" t="str">
        <f t="shared" si="0"/>
        <v>OK</v>
      </c>
      <c r="I11" s="13" t="str">
        <f t="shared" si="1"/>
        <v>OK</v>
      </c>
      <c r="J11" s="13" t="str">
        <f t="shared" si="2"/>
        <v>OK</v>
      </c>
    </row>
    <row r="12" spans="1:10" ht="15" customHeight="1" x14ac:dyDescent="0.35">
      <c r="A12" s="12">
        <v>3128402</v>
      </c>
      <c r="B12" s="12" t="s">
        <v>111</v>
      </c>
      <c r="C12" s="13"/>
      <c r="D12" s="13"/>
      <c r="E12" s="13"/>
      <c r="F12" s="13"/>
      <c r="G12" s="13" t="s">
        <v>188</v>
      </c>
      <c r="H12" s="13" t="str">
        <f t="shared" si="0"/>
        <v>Denominador ausente</v>
      </c>
      <c r="I12" s="13" t="str">
        <f t="shared" si="1"/>
        <v>Denominador ausente</v>
      </c>
      <c r="J12" s="13" t="str">
        <f t="shared" si="2"/>
        <v>OK</v>
      </c>
    </row>
    <row r="13" spans="1:10" ht="15" customHeight="1" x14ac:dyDescent="0.35">
      <c r="A13" s="12">
        <v>3131208</v>
      </c>
      <c r="B13" s="12" t="s">
        <v>113</v>
      </c>
      <c r="C13" s="13">
        <v>7788</v>
      </c>
      <c r="D13" s="13">
        <v>6568</v>
      </c>
      <c r="E13" s="13">
        <v>1220</v>
      </c>
      <c r="F13" s="13">
        <v>8836</v>
      </c>
      <c r="G13" s="13" t="s">
        <v>187</v>
      </c>
      <c r="H13" s="13" t="str">
        <f t="shared" si="0"/>
        <v>OK</v>
      </c>
      <c r="I13" s="13" t="str">
        <f t="shared" si="1"/>
        <v>OK</v>
      </c>
      <c r="J13" s="13" t="str">
        <f t="shared" si="2"/>
        <v>OK</v>
      </c>
    </row>
    <row r="14" spans="1:10" ht="15" customHeight="1" x14ac:dyDescent="0.35">
      <c r="A14" s="16">
        <v>3132701</v>
      </c>
      <c r="B14" s="16" t="s">
        <v>114</v>
      </c>
      <c r="C14" s="17">
        <v>7498</v>
      </c>
      <c r="D14" s="17">
        <v>5395</v>
      </c>
      <c r="E14" s="17">
        <v>2103</v>
      </c>
      <c r="F14" s="17">
        <v>5260</v>
      </c>
      <c r="G14" s="17" t="s">
        <v>187</v>
      </c>
      <c r="H14" s="17" t="str">
        <f t="shared" si="0"/>
        <v>OK</v>
      </c>
      <c r="I14" s="17" t="str">
        <f t="shared" si="1"/>
        <v>OK</v>
      </c>
      <c r="J14" s="17" t="str">
        <f t="shared" si="2"/>
        <v>Incoerente – ICA/ICE menor que domicílios residenciais ocupados</v>
      </c>
    </row>
    <row r="15" spans="1:10" ht="15" customHeight="1" x14ac:dyDescent="0.35">
      <c r="A15" s="12">
        <v>3135076</v>
      </c>
      <c r="B15" s="12" t="s">
        <v>115</v>
      </c>
      <c r="C15" s="13">
        <v>1577</v>
      </c>
      <c r="D15" s="13">
        <v>953</v>
      </c>
      <c r="E15" s="13">
        <v>624</v>
      </c>
      <c r="F15" s="13"/>
      <c r="G15" s="13" t="s">
        <v>187</v>
      </c>
      <c r="H15" s="13" t="str">
        <f t="shared" si="0"/>
        <v>OK</v>
      </c>
      <c r="I15" s="13" t="str">
        <f t="shared" si="1"/>
        <v>Denominador ausente</v>
      </c>
      <c r="J15" s="13" t="str">
        <f t="shared" si="2"/>
        <v>OK</v>
      </c>
    </row>
    <row r="16" spans="1:10" ht="15" customHeight="1" x14ac:dyDescent="0.35">
      <c r="A16" s="12">
        <v>3135407</v>
      </c>
      <c r="B16" s="12" t="s">
        <v>117</v>
      </c>
      <c r="C16" s="13">
        <v>2345</v>
      </c>
      <c r="D16" s="13">
        <v>1509</v>
      </c>
      <c r="E16" s="13">
        <v>836</v>
      </c>
      <c r="F16" s="13"/>
      <c r="G16" s="13" t="s">
        <v>187</v>
      </c>
      <c r="H16" s="13" t="str">
        <f t="shared" si="0"/>
        <v>OK</v>
      </c>
      <c r="I16" s="13" t="str">
        <f t="shared" si="1"/>
        <v>Denominador ausente</v>
      </c>
      <c r="J16" s="13" t="str">
        <f t="shared" si="2"/>
        <v>OK</v>
      </c>
    </row>
    <row r="17" spans="1:10" ht="15" customHeight="1" x14ac:dyDescent="0.35">
      <c r="A17" s="12">
        <v>3135506</v>
      </c>
      <c r="B17" s="12" t="s">
        <v>119</v>
      </c>
      <c r="C17" s="13">
        <v>4567</v>
      </c>
      <c r="D17" s="13">
        <v>2955</v>
      </c>
      <c r="E17" s="13">
        <v>1612</v>
      </c>
      <c r="F17" s="13">
        <v>7120</v>
      </c>
      <c r="G17" s="13" t="s">
        <v>187</v>
      </c>
      <c r="H17" s="13" t="str">
        <f t="shared" si="0"/>
        <v>OK</v>
      </c>
      <c r="I17" s="13" t="str">
        <f t="shared" si="1"/>
        <v>OK</v>
      </c>
      <c r="J17" s="13" t="str">
        <f t="shared" si="2"/>
        <v>OK</v>
      </c>
    </row>
    <row r="18" spans="1:10" ht="15" customHeight="1" x14ac:dyDescent="0.35">
      <c r="A18" s="12">
        <v>3137700</v>
      </c>
      <c r="B18" s="12" t="s">
        <v>121</v>
      </c>
      <c r="C18" s="13"/>
      <c r="D18" s="13"/>
      <c r="E18" s="13"/>
      <c r="F18" s="13"/>
      <c r="G18" s="13" t="s">
        <v>188</v>
      </c>
      <c r="H18" s="13" t="str">
        <f t="shared" si="0"/>
        <v>Denominador ausente</v>
      </c>
      <c r="I18" s="13" t="str">
        <f t="shared" si="1"/>
        <v>Denominador ausente</v>
      </c>
      <c r="J18" s="13" t="str">
        <f t="shared" si="2"/>
        <v>OK</v>
      </c>
    </row>
    <row r="19" spans="1:10" ht="15" customHeight="1" x14ac:dyDescent="0.35">
      <c r="A19" s="12">
        <v>3138609</v>
      </c>
      <c r="B19" s="12" t="s">
        <v>122</v>
      </c>
      <c r="C19" s="13">
        <v>7084</v>
      </c>
      <c r="D19" s="13">
        <v>5975</v>
      </c>
      <c r="E19" s="13">
        <v>1109</v>
      </c>
      <c r="F19" s="13"/>
      <c r="G19" s="13" t="s">
        <v>187</v>
      </c>
      <c r="H19" s="13" t="str">
        <f t="shared" si="0"/>
        <v>OK</v>
      </c>
      <c r="I19" s="13" t="str">
        <f t="shared" si="1"/>
        <v>Denominador ausente</v>
      </c>
      <c r="J19" s="13" t="str">
        <f t="shared" si="2"/>
        <v>OK</v>
      </c>
    </row>
    <row r="20" spans="1:10" ht="15" customHeight="1" x14ac:dyDescent="0.35">
      <c r="A20" s="12">
        <v>3139409</v>
      </c>
      <c r="B20" s="12" t="s">
        <v>123</v>
      </c>
      <c r="C20" s="13">
        <v>34980</v>
      </c>
      <c r="D20" s="13">
        <v>28547</v>
      </c>
      <c r="E20" s="13">
        <v>6433</v>
      </c>
      <c r="F20" s="13"/>
      <c r="G20" s="13" t="s">
        <v>187</v>
      </c>
      <c r="H20" s="13" t="str">
        <f t="shared" si="0"/>
        <v>OK</v>
      </c>
      <c r="I20" s="13" t="str">
        <f t="shared" si="1"/>
        <v>Denominador ausente</v>
      </c>
      <c r="J20" s="13" t="str">
        <f t="shared" si="2"/>
        <v>OK</v>
      </c>
    </row>
    <row r="21" spans="1:10" ht="15" customHeight="1" x14ac:dyDescent="0.35">
      <c r="A21" s="12">
        <v>3139508</v>
      </c>
      <c r="B21" s="12" t="s">
        <v>125</v>
      </c>
      <c r="C21" s="13">
        <v>7795</v>
      </c>
      <c r="D21" s="13">
        <v>6249</v>
      </c>
      <c r="E21" s="13">
        <v>1546</v>
      </c>
      <c r="F21" s="13"/>
      <c r="G21" s="13" t="s">
        <v>187</v>
      </c>
      <c r="H21" s="13" t="str">
        <f t="shared" si="0"/>
        <v>OK</v>
      </c>
      <c r="I21" s="13" t="str">
        <f t="shared" si="1"/>
        <v>Denominador ausente</v>
      </c>
      <c r="J21" s="13" t="str">
        <f t="shared" si="2"/>
        <v>OK</v>
      </c>
    </row>
    <row r="22" spans="1:10" ht="15" customHeight="1" x14ac:dyDescent="0.35">
      <c r="A22" s="12">
        <v>3139607</v>
      </c>
      <c r="B22" s="12" t="s">
        <v>126</v>
      </c>
      <c r="C22" s="13">
        <v>10481</v>
      </c>
      <c r="D22" s="13">
        <v>8749</v>
      </c>
      <c r="E22" s="13">
        <v>1732</v>
      </c>
      <c r="F22" s="13">
        <v>11698</v>
      </c>
      <c r="G22" s="13" t="s">
        <v>187</v>
      </c>
      <c r="H22" s="13" t="str">
        <f t="shared" si="0"/>
        <v>OK</v>
      </c>
      <c r="I22" s="13" t="str">
        <f t="shared" si="1"/>
        <v>OK</v>
      </c>
      <c r="J22" s="13" t="str">
        <f t="shared" si="2"/>
        <v>OK</v>
      </c>
    </row>
    <row r="23" spans="1:10" ht="15" customHeight="1" x14ac:dyDescent="0.35">
      <c r="A23" s="12">
        <v>3140001</v>
      </c>
      <c r="B23" s="12" t="s">
        <v>127</v>
      </c>
      <c r="C23" s="13">
        <v>22635</v>
      </c>
      <c r="D23" s="13">
        <v>20928</v>
      </c>
      <c r="E23" s="13">
        <v>1707</v>
      </c>
      <c r="F23" s="13">
        <v>34087</v>
      </c>
      <c r="G23" s="13" t="s">
        <v>187</v>
      </c>
      <c r="H23" s="13" t="str">
        <f t="shared" si="0"/>
        <v>OK</v>
      </c>
      <c r="I23" s="13" t="str">
        <f t="shared" si="1"/>
        <v>OK</v>
      </c>
      <c r="J23" s="13" t="str">
        <f t="shared" si="2"/>
        <v>OK</v>
      </c>
    </row>
    <row r="24" spans="1:10" ht="15" customHeight="1" x14ac:dyDescent="0.35">
      <c r="A24" s="12">
        <v>3143906</v>
      </c>
      <c r="B24" s="12" t="s">
        <v>129</v>
      </c>
      <c r="C24" s="13">
        <v>40970</v>
      </c>
      <c r="D24" s="13">
        <v>38510</v>
      </c>
      <c r="E24" s="13">
        <v>2460</v>
      </c>
      <c r="F24" s="13">
        <v>51069</v>
      </c>
      <c r="G24" s="13" t="s">
        <v>187</v>
      </c>
      <c r="H24" s="13" t="str">
        <f t="shared" si="0"/>
        <v>OK</v>
      </c>
      <c r="I24" s="13" t="str">
        <f t="shared" si="1"/>
        <v>OK</v>
      </c>
      <c r="J24" s="13" t="str">
        <f t="shared" si="2"/>
        <v>OK</v>
      </c>
    </row>
    <row r="25" spans="1:10" ht="15" customHeight="1" x14ac:dyDescent="0.35">
      <c r="A25" s="12">
        <v>3145851</v>
      </c>
      <c r="B25" s="12" t="s">
        <v>131</v>
      </c>
      <c r="C25" s="13">
        <v>1709</v>
      </c>
      <c r="D25" s="13">
        <v>1249</v>
      </c>
      <c r="E25" s="13">
        <v>460</v>
      </c>
      <c r="F25" s="13"/>
      <c r="G25" s="13" t="s">
        <v>187</v>
      </c>
      <c r="H25" s="13" t="str">
        <f t="shared" si="0"/>
        <v>OK</v>
      </c>
      <c r="I25" s="13" t="str">
        <f t="shared" si="1"/>
        <v>Denominador ausente</v>
      </c>
      <c r="J25" s="13" t="str">
        <f t="shared" si="2"/>
        <v>OK</v>
      </c>
    </row>
    <row r="26" spans="1:10" ht="15" customHeight="1" x14ac:dyDescent="0.35">
      <c r="A26" s="12">
        <v>3150604</v>
      </c>
      <c r="B26" s="12" t="s">
        <v>132</v>
      </c>
      <c r="C26" s="13">
        <v>2689</v>
      </c>
      <c r="D26" s="13">
        <v>1450</v>
      </c>
      <c r="E26" s="13">
        <v>1239</v>
      </c>
      <c r="F26" s="13"/>
      <c r="G26" s="13" t="s">
        <v>187</v>
      </c>
      <c r="H26" s="13" t="str">
        <f t="shared" si="0"/>
        <v>OK</v>
      </c>
      <c r="I26" s="13" t="str">
        <f t="shared" si="1"/>
        <v>Denominador ausente</v>
      </c>
      <c r="J26" s="13" t="str">
        <f t="shared" si="2"/>
        <v>OK</v>
      </c>
    </row>
    <row r="27" spans="1:10" ht="15" customHeight="1" x14ac:dyDescent="0.35">
      <c r="A27" s="16">
        <v>3151909</v>
      </c>
      <c r="B27" s="16" t="s">
        <v>134</v>
      </c>
      <c r="C27" s="17">
        <v>3307</v>
      </c>
      <c r="D27" s="17">
        <v>2186</v>
      </c>
      <c r="E27" s="17">
        <v>1121</v>
      </c>
      <c r="F27" s="17">
        <v>2498</v>
      </c>
      <c r="G27" s="17" t="s">
        <v>187</v>
      </c>
      <c r="H27" s="17" t="str">
        <f t="shared" si="0"/>
        <v>OK</v>
      </c>
      <c r="I27" s="17" t="str">
        <f t="shared" si="1"/>
        <v>OK</v>
      </c>
      <c r="J27" s="17" t="str">
        <f t="shared" si="2"/>
        <v>Incoerente – ICA/ICE menor que domicílios residenciais ocupados</v>
      </c>
    </row>
    <row r="28" spans="1:10" ht="15" customHeight="1" x14ac:dyDescent="0.35">
      <c r="A28" s="16">
        <v>3152105</v>
      </c>
      <c r="B28" s="16" t="s">
        <v>135</v>
      </c>
      <c r="C28" s="17">
        <v>21900</v>
      </c>
      <c r="D28" s="17">
        <v>20032</v>
      </c>
      <c r="E28" s="17">
        <v>1868</v>
      </c>
      <c r="F28" s="17">
        <v>203</v>
      </c>
      <c r="G28" s="17" t="s">
        <v>187</v>
      </c>
      <c r="H28" s="17" t="str">
        <f t="shared" si="0"/>
        <v>OK</v>
      </c>
      <c r="I28" s="17" t="str">
        <f t="shared" si="1"/>
        <v>OK</v>
      </c>
      <c r="J28" s="17" t="str">
        <f t="shared" si="2"/>
        <v>Incoerente – ICA/ICE menor que domicílios residenciais ocupados</v>
      </c>
    </row>
    <row r="29" spans="1:10" ht="15" customHeight="1" x14ac:dyDescent="0.35">
      <c r="A29" s="12">
        <v>3154002</v>
      </c>
      <c r="B29" s="12" t="s">
        <v>137</v>
      </c>
      <c r="C29" s="13">
        <v>9080</v>
      </c>
      <c r="D29" s="13">
        <v>6229</v>
      </c>
      <c r="E29" s="13">
        <v>2851</v>
      </c>
      <c r="F29" s="13"/>
      <c r="G29" s="13" t="s">
        <v>187</v>
      </c>
      <c r="H29" s="13" t="str">
        <f t="shared" si="0"/>
        <v>OK</v>
      </c>
      <c r="I29" s="13" t="str">
        <f t="shared" si="1"/>
        <v>Denominador ausente</v>
      </c>
      <c r="J29" s="13" t="str">
        <f t="shared" si="2"/>
        <v>OK</v>
      </c>
    </row>
    <row r="30" spans="1:10" ht="15" customHeight="1" x14ac:dyDescent="0.35">
      <c r="A30" s="16">
        <v>3154101</v>
      </c>
      <c r="B30" s="16" t="s">
        <v>138</v>
      </c>
      <c r="C30" s="17">
        <v>4006</v>
      </c>
      <c r="D30" s="17">
        <v>3694</v>
      </c>
      <c r="E30" s="17">
        <v>312</v>
      </c>
      <c r="F30" s="17">
        <v>4000</v>
      </c>
      <c r="G30" s="17" t="s">
        <v>187</v>
      </c>
      <c r="H30" s="17" t="str">
        <f t="shared" si="0"/>
        <v>OK</v>
      </c>
      <c r="I30" s="17" t="str">
        <f t="shared" si="1"/>
        <v>OK</v>
      </c>
      <c r="J30" s="17" t="str">
        <f t="shared" si="2"/>
        <v>Incoerente – ICA/ICE menor que domicílios residenciais ocupados</v>
      </c>
    </row>
    <row r="31" spans="1:10" ht="15" customHeight="1" x14ac:dyDescent="0.35">
      <c r="A31" s="12">
        <v>3154150</v>
      </c>
      <c r="B31" s="12" t="s">
        <v>139</v>
      </c>
      <c r="C31" s="13"/>
      <c r="D31" s="13"/>
      <c r="E31" s="13"/>
      <c r="F31" s="13"/>
      <c r="G31" s="13" t="s">
        <v>188</v>
      </c>
      <c r="H31" s="13" t="str">
        <f t="shared" si="0"/>
        <v>Denominador ausente</v>
      </c>
      <c r="I31" s="13" t="str">
        <f t="shared" si="1"/>
        <v>Denominador ausente</v>
      </c>
      <c r="J31" s="13" t="str">
        <f t="shared" si="2"/>
        <v>OK</v>
      </c>
    </row>
    <row r="32" spans="1:10" ht="15" customHeight="1" x14ac:dyDescent="0.35">
      <c r="A32" s="12">
        <v>3165701</v>
      </c>
      <c r="B32" s="12" t="s">
        <v>141</v>
      </c>
      <c r="C32" s="13">
        <v>2998</v>
      </c>
      <c r="D32" s="13">
        <v>2398</v>
      </c>
      <c r="E32" s="13">
        <v>600</v>
      </c>
      <c r="F32" s="13"/>
      <c r="G32" s="13" t="s">
        <v>187</v>
      </c>
      <c r="H32" s="13" t="str">
        <f t="shared" si="0"/>
        <v>OK</v>
      </c>
      <c r="I32" s="13" t="str">
        <f t="shared" si="1"/>
        <v>Denominador ausente</v>
      </c>
      <c r="J32" s="13" t="str">
        <f t="shared" si="2"/>
        <v>OK</v>
      </c>
    </row>
    <row r="33" spans="1:10" ht="15" customHeight="1" x14ac:dyDescent="0.35">
      <c r="A33" s="12">
        <v>3161403</v>
      </c>
      <c r="B33" s="12" t="s">
        <v>142</v>
      </c>
      <c r="C33" s="13">
        <v>1822</v>
      </c>
      <c r="D33" s="13">
        <v>1196</v>
      </c>
      <c r="E33" s="13">
        <v>626</v>
      </c>
      <c r="F33" s="13"/>
      <c r="G33" s="13" t="s">
        <v>187</v>
      </c>
      <c r="H33" s="13" t="str">
        <f t="shared" si="0"/>
        <v>OK</v>
      </c>
      <c r="I33" s="13" t="str">
        <f t="shared" si="1"/>
        <v>Denominador ausente</v>
      </c>
      <c r="J33" s="13" t="str">
        <f t="shared" si="2"/>
        <v>OK</v>
      </c>
    </row>
    <row r="34" spans="1:10" ht="15" customHeight="1" x14ac:dyDescent="0.35">
      <c r="A34" s="12">
        <v>3168051</v>
      </c>
      <c r="B34" s="12" t="s">
        <v>144</v>
      </c>
      <c r="C34" s="13"/>
      <c r="D34" s="13"/>
      <c r="E34" s="13"/>
      <c r="F34" s="13"/>
      <c r="G34" s="13" t="s">
        <v>188</v>
      </c>
      <c r="H34" s="13" t="str">
        <f t="shared" si="0"/>
        <v>Denominador ausente</v>
      </c>
      <c r="I34" s="13" t="str">
        <f t="shared" si="1"/>
        <v>Denominador ausente</v>
      </c>
      <c r="J34" s="13" t="str">
        <f t="shared" si="2"/>
        <v>OK</v>
      </c>
    </row>
    <row r="35" spans="1:10" ht="15" customHeight="1" x14ac:dyDescent="0.35">
      <c r="A35" s="12">
        <v>3169000</v>
      </c>
      <c r="B35" s="12" t="s">
        <v>146</v>
      </c>
      <c r="C35" s="13">
        <v>6301</v>
      </c>
      <c r="D35" s="13">
        <v>5348</v>
      </c>
      <c r="E35" s="13">
        <v>953</v>
      </c>
      <c r="F35" s="13"/>
      <c r="G35" s="13" t="s">
        <v>187</v>
      </c>
      <c r="H35" s="13" t="str">
        <f t="shared" si="0"/>
        <v>OK</v>
      </c>
      <c r="I35" s="13" t="str">
        <f t="shared" si="1"/>
        <v>Denominador ausente</v>
      </c>
      <c r="J35" s="13" t="str">
        <f t="shared" si="2"/>
        <v>OK</v>
      </c>
    </row>
    <row r="36" spans="1:10" ht="15" customHeight="1" x14ac:dyDescent="0.35">
      <c r="A36" s="12">
        <v>3169208</v>
      </c>
      <c r="B36" s="12" t="s">
        <v>148</v>
      </c>
      <c r="C36" s="13"/>
      <c r="D36" s="13"/>
      <c r="E36" s="13"/>
      <c r="F36" s="13"/>
      <c r="G36" s="13" t="s">
        <v>188</v>
      </c>
      <c r="H36" s="13" t="str">
        <f t="shared" si="0"/>
        <v>Denominador ausente</v>
      </c>
      <c r="I36" s="13" t="str">
        <f t="shared" si="1"/>
        <v>Denominador ausente</v>
      </c>
      <c r="J36" s="13" t="str">
        <f t="shared" si="2"/>
        <v>OK</v>
      </c>
    </row>
    <row r="37" spans="1:10" ht="15" customHeight="1" x14ac:dyDescent="0.35">
      <c r="A37" s="16">
        <v>3171154</v>
      </c>
      <c r="B37" s="16" t="s">
        <v>149</v>
      </c>
      <c r="C37" s="17">
        <v>1850</v>
      </c>
      <c r="D37" s="17">
        <v>746</v>
      </c>
      <c r="E37" s="17">
        <v>1104</v>
      </c>
      <c r="F37" s="17">
        <v>957</v>
      </c>
      <c r="G37" s="17" t="s">
        <v>187</v>
      </c>
      <c r="H37" s="17" t="str">
        <f t="shared" si="0"/>
        <v>OK</v>
      </c>
      <c r="I37" s="17" t="str">
        <f t="shared" si="1"/>
        <v>OK</v>
      </c>
      <c r="J37" s="17" t="str">
        <f t="shared" si="2"/>
        <v>Incoerente – ICA/ICE menor que domicílios residenciais ocupados</v>
      </c>
    </row>
    <row r="38" spans="1:10" ht="15" customHeight="1" x14ac:dyDescent="0.35">
      <c r="A38" s="12">
        <v>3171303</v>
      </c>
      <c r="B38" s="12" t="s">
        <v>150</v>
      </c>
      <c r="C38" s="13">
        <v>30122</v>
      </c>
      <c r="D38" s="13">
        <v>28052</v>
      </c>
      <c r="E38" s="13">
        <v>2070</v>
      </c>
      <c r="F38" s="13">
        <v>40375</v>
      </c>
      <c r="G38" s="13" t="s">
        <v>187</v>
      </c>
      <c r="H38" s="13" t="str">
        <f t="shared" si="0"/>
        <v>OK</v>
      </c>
      <c r="I38" s="13" t="str">
        <f t="shared" si="1"/>
        <v>OK</v>
      </c>
      <c r="J38" s="13" t="str">
        <f t="shared" si="2"/>
        <v>OK</v>
      </c>
    </row>
    <row r="39" spans="1:10" ht="15" customHeight="1" x14ac:dyDescent="0.35">
      <c r="A39" s="12">
        <v>3167202</v>
      </c>
      <c r="B39" s="12" t="s">
        <v>151</v>
      </c>
      <c r="C39" s="13"/>
      <c r="D39" s="13"/>
      <c r="E39" s="13"/>
      <c r="F39" s="13"/>
      <c r="G39" s="13" t="s">
        <v>188</v>
      </c>
      <c r="H39" s="13" t="str">
        <f t="shared" si="0"/>
        <v>Denominador ausente</v>
      </c>
      <c r="I39" s="13" t="str">
        <f t="shared" si="1"/>
        <v>Denominador ausente</v>
      </c>
      <c r="J39" s="13" t="str">
        <f t="shared" si="2"/>
        <v>OK</v>
      </c>
    </row>
    <row r="40" spans="1:10" ht="15" customHeight="1" x14ac:dyDescent="0.35">
      <c r="A40" s="12">
        <v>3146305</v>
      </c>
      <c r="B40" s="12" t="s">
        <v>153</v>
      </c>
      <c r="C40" s="13"/>
      <c r="D40" s="13"/>
      <c r="E40" s="13"/>
      <c r="F40" s="13"/>
      <c r="G40" s="13" t="s">
        <v>188</v>
      </c>
      <c r="H40" s="13" t="str">
        <f t="shared" si="0"/>
        <v>Denominador ausente</v>
      </c>
      <c r="I40" s="13" t="str">
        <f t="shared" si="1"/>
        <v>Denominador ausente</v>
      </c>
      <c r="J40" s="13" t="str">
        <f t="shared" si="2"/>
        <v>OK</v>
      </c>
    </row>
    <row r="41" spans="1:10" ht="15" customHeight="1" x14ac:dyDescent="0.35">
      <c r="A41" s="12">
        <v>3120607</v>
      </c>
      <c r="B41" s="12" t="s">
        <v>155</v>
      </c>
      <c r="C41" s="13"/>
      <c r="D41" s="13"/>
      <c r="E41" s="13"/>
      <c r="F41" s="13"/>
      <c r="G41" s="13" t="s">
        <v>188</v>
      </c>
      <c r="H41" s="13" t="str">
        <f t="shared" si="0"/>
        <v>Denominador ausente</v>
      </c>
      <c r="I41" s="13" t="str">
        <f t="shared" si="1"/>
        <v>Denominador ausente</v>
      </c>
      <c r="J41" s="13" t="str">
        <f t="shared" si="2"/>
        <v>OK</v>
      </c>
    </row>
    <row r="42" spans="1:10" ht="15" customHeight="1" x14ac:dyDescent="0.35">
      <c r="A42" s="12">
        <v>3115706</v>
      </c>
      <c r="B42" s="12" t="s">
        <v>157</v>
      </c>
      <c r="C42" s="13"/>
      <c r="D42" s="13"/>
      <c r="E42" s="13"/>
      <c r="F42" s="13"/>
      <c r="G42" s="13" t="s">
        <v>188</v>
      </c>
      <c r="H42" s="13" t="str">
        <f t="shared" si="0"/>
        <v>Denominador ausente</v>
      </c>
      <c r="I42" s="13" t="str">
        <f t="shared" si="1"/>
        <v>Denominador ausente</v>
      </c>
      <c r="J42" s="13" t="str">
        <f t="shared" si="2"/>
        <v>OK</v>
      </c>
    </row>
    <row r="44" spans="1:10" ht="15" customHeight="1" x14ac:dyDescent="0.35">
      <c r="B44" s="9" t="s">
        <v>189</v>
      </c>
    </row>
    <row r="45" spans="1:10" ht="15" customHeight="1" x14ac:dyDescent="0.35">
      <c r="B45" s="18" t="s">
        <v>190</v>
      </c>
    </row>
  </sheetData>
  <pageMargins left="0.75" right="0.75" top="1" bottom="1" header="0.511811023622047" footer="0.511811023622047"/>
  <pageSetup paperSize="9" orientation="portrait" horizontalDpi="300" verticalDpi="300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ColWidth="8.6328125" defaultRowHeight="14.5" x14ac:dyDescent="0.35"/>
  <cols>
    <col min="1" max="1" width="10" customWidth="1"/>
    <col min="2" max="2" width="22" customWidth="1"/>
    <col min="3" max="3" width="20" customWidth="1"/>
    <col min="4" max="9" width="16" customWidth="1"/>
    <col min="10" max="13" width="17" customWidth="1"/>
    <col min="14" max="17" width="15" customWidth="1"/>
    <col min="18" max="18" width="50" customWidth="1"/>
  </cols>
  <sheetData>
    <row r="1" spans="1:18" ht="17.25" customHeight="1" x14ac:dyDescent="0.4">
      <c r="A1" s="6" t="s">
        <v>191</v>
      </c>
    </row>
    <row r="2" spans="1:18" ht="45.75" customHeight="1" x14ac:dyDescent="0.35">
      <c r="A2" s="11" t="s">
        <v>63</v>
      </c>
      <c r="B2" s="11" t="s">
        <v>64</v>
      </c>
      <c r="C2" s="11" t="s">
        <v>192</v>
      </c>
      <c r="D2" s="11" t="s">
        <v>193</v>
      </c>
      <c r="E2" s="11" t="s">
        <v>194</v>
      </c>
      <c r="F2" s="11" t="s">
        <v>195</v>
      </c>
      <c r="G2" s="11" t="s">
        <v>196</v>
      </c>
      <c r="H2" s="11" t="s">
        <v>197</v>
      </c>
      <c r="I2" s="11" t="s">
        <v>198</v>
      </c>
      <c r="J2" s="11" t="s">
        <v>199</v>
      </c>
      <c r="K2" s="11" t="s">
        <v>200</v>
      </c>
      <c r="L2" s="11" t="s">
        <v>201</v>
      </c>
      <c r="M2" s="11" t="s">
        <v>202</v>
      </c>
      <c r="N2" s="11" t="s">
        <v>203</v>
      </c>
      <c r="O2" s="11" t="s">
        <v>204</v>
      </c>
      <c r="P2" s="11" t="s">
        <v>205</v>
      </c>
      <c r="Q2" s="11" t="s">
        <v>206</v>
      </c>
      <c r="R2" s="11" t="s">
        <v>207</v>
      </c>
    </row>
    <row r="3" spans="1:18" ht="15" customHeight="1" x14ac:dyDescent="0.35">
      <c r="A3" s="12">
        <v>3100302</v>
      </c>
      <c r="B3" s="12" t="s">
        <v>94</v>
      </c>
      <c r="C3" s="13" t="s">
        <v>208</v>
      </c>
      <c r="D3" s="13"/>
      <c r="E3" s="13"/>
      <c r="F3" s="13">
        <v>2594</v>
      </c>
      <c r="G3" s="13"/>
      <c r="H3" s="13"/>
      <c r="I3" s="13">
        <v>314</v>
      </c>
      <c r="J3" s="19" t="s">
        <v>209</v>
      </c>
      <c r="K3" s="19" t="s">
        <v>209</v>
      </c>
      <c r="L3" s="19" t="s">
        <v>209</v>
      </c>
      <c r="M3" s="19" t="s">
        <v>209</v>
      </c>
      <c r="N3" s="13">
        <f t="shared" ref="N3:N42" si="0">IF($J3="Sim",SUM(D3:E3),0)</f>
        <v>0</v>
      </c>
      <c r="O3" s="13">
        <f t="shared" ref="O3:O42" si="1">IF($K3="Sim",SUM(F3:G3),0)</f>
        <v>0</v>
      </c>
      <c r="P3" s="13">
        <f t="shared" ref="P3:P42" si="2">IF($L3="Sim",N(H3),0)</f>
        <v>0</v>
      </c>
      <c r="Q3" s="13">
        <f t="shared" ref="Q3:Q42" si="3">IF($M3="Sim",N(I3),0)</f>
        <v>0</v>
      </c>
      <c r="R3" s="19"/>
    </row>
    <row r="4" spans="1:18" ht="15" customHeight="1" x14ac:dyDescent="0.35">
      <c r="A4" s="12">
        <v>3100401</v>
      </c>
      <c r="B4" s="12" t="s">
        <v>97</v>
      </c>
      <c r="C4" s="13" t="s">
        <v>208</v>
      </c>
      <c r="D4" s="13"/>
      <c r="E4" s="13"/>
      <c r="F4" s="13"/>
      <c r="G4" s="13"/>
      <c r="H4" s="13"/>
      <c r="I4" s="13">
        <v>80</v>
      </c>
      <c r="J4" s="19" t="s">
        <v>209</v>
      </c>
      <c r="K4" s="19" t="s">
        <v>209</v>
      </c>
      <c r="L4" s="19" t="s">
        <v>209</v>
      </c>
      <c r="M4" s="19" t="s">
        <v>209</v>
      </c>
      <c r="N4" s="13">
        <f t="shared" si="0"/>
        <v>0</v>
      </c>
      <c r="O4" s="13">
        <f t="shared" si="1"/>
        <v>0</v>
      </c>
      <c r="P4" s="13">
        <f t="shared" si="2"/>
        <v>0</v>
      </c>
      <c r="Q4" s="13">
        <f t="shared" si="3"/>
        <v>0</v>
      </c>
      <c r="R4" s="19"/>
    </row>
    <row r="5" spans="1:18" ht="15" customHeight="1" x14ac:dyDescent="0.35">
      <c r="A5" s="12">
        <v>3101102</v>
      </c>
      <c r="B5" s="12" t="s">
        <v>99</v>
      </c>
      <c r="C5" s="13" t="s">
        <v>209</v>
      </c>
      <c r="D5" s="13"/>
      <c r="E5" s="13"/>
      <c r="F5" s="13"/>
      <c r="G5" s="13"/>
      <c r="H5" s="13"/>
      <c r="I5" s="13"/>
      <c r="J5" s="19" t="s">
        <v>209</v>
      </c>
      <c r="K5" s="19" t="s">
        <v>209</v>
      </c>
      <c r="L5" s="19" t="s">
        <v>209</v>
      </c>
      <c r="M5" s="19" t="s">
        <v>209</v>
      </c>
      <c r="N5" s="13">
        <f t="shared" si="0"/>
        <v>0</v>
      </c>
      <c r="O5" s="13">
        <f t="shared" si="1"/>
        <v>0</v>
      </c>
      <c r="P5" s="13">
        <f t="shared" si="2"/>
        <v>0</v>
      </c>
      <c r="Q5" s="13">
        <f t="shared" si="3"/>
        <v>0</v>
      </c>
      <c r="R5" s="19"/>
    </row>
    <row r="6" spans="1:18" ht="15" customHeight="1" x14ac:dyDescent="0.35">
      <c r="A6" s="12">
        <v>3108701</v>
      </c>
      <c r="B6" s="12" t="s">
        <v>100</v>
      </c>
      <c r="C6" s="13" t="s">
        <v>208</v>
      </c>
      <c r="D6" s="13"/>
      <c r="E6" s="13"/>
      <c r="F6" s="13"/>
      <c r="G6" s="13"/>
      <c r="H6" s="13"/>
      <c r="I6" s="13"/>
      <c r="J6" s="19" t="s">
        <v>209</v>
      </c>
      <c r="K6" s="19" t="s">
        <v>209</v>
      </c>
      <c r="L6" s="19" t="s">
        <v>209</v>
      </c>
      <c r="M6" s="19" t="s">
        <v>209</v>
      </c>
      <c r="N6" s="13">
        <f t="shared" si="0"/>
        <v>0</v>
      </c>
      <c r="O6" s="13">
        <f t="shared" si="1"/>
        <v>0</v>
      </c>
      <c r="P6" s="13">
        <f t="shared" si="2"/>
        <v>0</v>
      </c>
      <c r="Q6" s="13">
        <f t="shared" si="3"/>
        <v>0</v>
      </c>
      <c r="R6" s="19"/>
    </row>
    <row r="7" spans="1:18" ht="15" customHeight="1" x14ac:dyDescent="0.35">
      <c r="A7" s="12">
        <v>3113107</v>
      </c>
      <c r="B7" s="12" t="s">
        <v>102</v>
      </c>
      <c r="C7" s="13" t="s">
        <v>208</v>
      </c>
      <c r="D7" s="13"/>
      <c r="E7" s="13"/>
      <c r="F7" s="13">
        <v>235</v>
      </c>
      <c r="G7" s="13"/>
      <c r="H7" s="13"/>
      <c r="I7" s="13">
        <v>819</v>
      </c>
      <c r="J7" s="19" t="s">
        <v>209</v>
      </c>
      <c r="K7" s="19" t="s">
        <v>209</v>
      </c>
      <c r="L7" s="19" t="s">
        <v>209</v>
      </c>
      <c r="M7" s="19" t="s">
        <v>209</v>
      </c>
      <c r="N7" s="13">
        <f t="shared" si="0"/>
        <v>0</v>
      </c>
      <c r="O7" s="13">
        <f t="shared" si="1"/>
        <v>0</v>
      </c>
      <c r="P7" s="13">
        <f t="shared" si="2"/>
        <v>0</v>
      </c>
      <c r="Q7" s="13">
        <f t="shared" si="3"/>
        <v>0</v>
      </c>
      <c r="R7" s="19"/>
    </row>
    <row r="8" spans="1:18" ht="15" customHeight="1" x14ac:dyDescent="0.35">
      <c r="A8" s="12">
        <v>3113305</v>
      </c>
      <c r="B8" s="12" t="s">
        <v>104</v>
      </c>
      <c r="C8" s="13" t="s">
        <v>208</v>
      </c>
      <c r="D8" s="13"/>
      <c r="E8" s="13"/>
      <c r="F8" s="13">
        <v>1500</v>
      </c>
      <c r="G8" s="13"/>
      <c r="H8" s="13"/>
      <c r="I8" s="13">
        <v>1000</v>
      </c>
      <c r="J8" s="19" t="s">
        <v>209</v>
      </c>
      <c r="K8" s="19" t="s">
        <v>209</v>
      </c>
      <c r="L8" s="19" t="s">
        <v>209</v>
      </c>
      <c r="M8" s="19" t="s">
        <v>209</v>
      </c>
      <c r="N8" s="13">
        <f t="shared" si="0"/>
        <v>0</v>
      </c>
      <c r="O8" s="13">
        <f t="shared" si="1"/>
        <v>0</v>
      </c>
      <c r="P8" s="13">
        <f t="shared" si="2"/>
        <v>0</v>
      </c>
      <c r="Q8" s="13">
        <f t="shared" si="3"/>
        <v>0</v>
      </c>
      <c r="R8" s="19"/>
    </row>
    <row r="9" spans="1:18" ht="15" customHeight="1" x14ac:dyDescent="0.35">
      <c r="A9" s="12">
        <v>3116001</v>
      </c>
      <c r="B9" s="12" t="s">
        <v>106</v>
      </c>
      <c r="C9" s="13" t="s">
        <v>208</v>
      </c>
      <c r="D9" s="13"/>
      <c r="E9" s="13"/>
      <c r="F9" s="13">
        <v>563</v>
      </c>
      <c r="G9" s="13"/>
      <c r="H9" s="13"/>
      <c r="I9" s="13">
        <v>80</v>
      </c>
      <c r="J9" s="19" t="s">
        <v>209</v>
      </c>
      <c r="K9" s="19" t="s">
        <v>209</v>
      </c>
      <c r="L9" s="19" t="s">
        <v>209</v>
      </c>
      <c r="M9" s="19" t="s">
        <v>209</v>
      </c>
      <c r="N9" s="13">
        <f t="shared" si="0"/>
        <v>0</v>
      </c>
      <c r="O9" s="13">
        <f t="shared" si="1"/>
        <v>0</v>
      </c>
      <c r="P9" s="13">
        <f t="shared" si="2"/>
        <v>0</v>
      </c>
      <c r="Q9" s="13">
        <f t="shared" si="3"/>
        <v>0</v>
      </c>
      <c r="R9" s="19"/>
    </row>
    <row r="10" spans="1:18" ht="15" customHeight="1" x14ac:dyDescent="0.35">
      <c r="A10" s="12">
        <v>3118403</v>
      </c>
      <c r="B10" s="12" t="s">
        <v>108</v>
      </c>
      <c r="C10" s="13" t="s">
        <v>208</v>
      </c>
      <c r="D10" s="13"/>
      <c r="E10" s="13"/>
      <c r="F10" s="13"/>
      <c r="G10" s="13"/>
      <c r="H10" s="13"/>
      <c r="I10" s="13"/>
      <c r="J10" s="19" t="s">
        <v>209</v>
      </c>
      <c r="K10" s="19" t="s">
        <v>209</v>
      </c>
      <c r="L10" s="19" t="s">
        <v>209</v>
      </c>
      <c r="M10" s="19" t="s">
        <v>209</v>
      </c>
      <c r="N10" s="13">
        <f t="shared" si="0"/>
        <v>0</v>
      </c>
      <c r="O10" s="13">
        <f t="shared" si="1"/>
        <v>0</v>
      </c>
      <c r="P10" s="13">
        <f t="shared" si="2"/>
        <v>0</v>
      </c>
      <c r="Q10" s="13">
        <f t="shared" si="3"/>
        <v>0</v>
      </c>
      <c r="R10" s="19"/>
    </row>
    <row r="11" spans="1:18" ht="15" customHeight="1" x14ac:dyDescent="0.35">
      <c r="A11" s="12">
        <v>3127701</v>
      </c>
      <c r="B11" s="12" t="s">
        <v>109</v>
      </c>
      <c r="C11" s="13" t="s">
        <v>208</v>
      </c>
      <c r="D11" s="13"/>
      <c r="E11" s="13"/>
      <c r="F11" s="13"/>
      <c r="G11" s="13"/>
      <c r="H11" s="13"/>
      <c r="I11" s="13"/>
      <c r="J11" s="19" t="s">
        <v>209</v>
      </c>
      <c r="K11" s="19" t="s">
        <v>209</v>
      </c>
      <c r="L11" s="19" t="s">
        <v>209</v>
      </c>
      <c r="M11" s="19" t="s">
        <v>209</v>
      </c>
      <c r="N11" s="13">
        <f t="shared" si="0"/>
        <v>0</v>
      </c>
      <c r="O11" s="13">
        <f t="shared" si="1"/>
        <v>0</v>
      </c>
      <c r="P11" s="13">
        <f t="shared" si="2"/>
        <v>0</v>
      </c>
      <c r="Q11" s="13">
        <f t="shared" si="3"/>
        <v>0</v>
      </c>
      <c r="R11" s="19"/>
    </row>
    <row r="12" spans="1:18" ht="15" customHeight="1" x14ac:dyDescent="0.35">
      <c r="A12" s="12">
        <v>3128402</v>
      </c>
      <c r="B12" s="12" t="s">
        <v>111</v>
      </c>
      <c r="C12" s="13" t="s">
        <v>208</v>
      </c>
      <c r="D12" s="13"/>
      <c r="E12" s="13"/>
      <c r="F12" s="13"/>
      <c r="G12" s="13"/>
      <c r="H12" s="13"/>
      <c r="I12" s="13">
        <v>400</v>
      </c>
      <c r="J12" s="19" t="s">
        <v>209</v>
      </c>
      <c r="K12" s="19" t="s">
        <v>209</v>
      </c>
      <c r="L12" s="19" t="s">
        <v>209</v>
      </c>
      <c r="M12" s="19" t="s">
        <v>209</v>
      </c>
      <c r="N12" s="13">
        <f t="shared" si="0"/>
        <v>0</v>
      </c>
      <c r="O12" s="13">
        <f t="shared" si="1"/>
        <v>0</v>
      </c>
      <c r="P12" s="13">
        <f t="shared" si="2"/>
        <v>0</v>
      </c>
      <c r="Q12" s="13">
        <f t="shared" si="3"/>
        <v>0</v>
      </c>
      <c r="R12" s="19"/>
    </row>
    <row r="13" spans="1:18" ht="15" customHeight="1" x14ac:dyDescent="0.35">
      <c r="A13" s="12">
        <v>3131208</v>
      </c>
      <c r="B13" s="12" t="s">
        <v>113</v>
      </c>
      <c r="C13" s="13" t="s">
        <v>208</v>
      </c>
      <c r="D13" s="13"/>
      <c r="E13" s="13"/>
      <c r="F13" s="13"/>
      <c r="G13" s="13"/>
      <c r="H13" s="13"/>
      <c r="I13" s="13">
        <v>36</v>
      </c>
      <c r="J13" s="19" t="s">
        <v>209</v>
      </c>
      <c r="K13" s="19" t="s">
        <v>209</v>
      </c>
      <c r="L13" s="19" t="s">
        <v>209</v>
      </c>
      <c r="M13" s="19" t="s">
        <v>209</v>
      </c>
      <c r="N13" s="13">
        <f t="shared" si="0"/>
        <v>0</v>
      </c>
      <c r="O13" s="13">
        <f t="shared" si="1"/>
        <v>0</v>
      </c>
      <c r="P13" s="13">
        <f t="shared" si="2"/>
        <v>0</v>
      </c>
      <c r="Q13" s="13">
        <f t="shared" si="3"/>
        <v>0</v>
      </c>
      <c r="R13" s="19"/>
    </row>
    <row r="14" spans="1:18" ht="15" customHeight="1" x14ac:dyDescent="0.35">
      <c r="A14" s="12">
        <v>3132701</v>
      </c>
      <c r="B14" s="12" t="s">
        <v>114</v>
      </c>
      <c r="C14" s="13" t="s">
        <v>209</v>
      </c>
      <c r="D14" s="13"/>
      <c r="E14" s="13"/>
      <c r="F14" s="13"/>
      <c r="G14" s="13"/>
      <c r="H14" s="13"/>
      <c r="I14" s="13"/>
      <c r="J14" s="19" t="s">
        <v>209</v>
      </c>
      <c r="K14" s="19" t="s">
        <v>209</v>
      </c>
      <c r="L14" s="19" t="s">
        <v>209</v>
      </c>
      <c r="M14" s="19" t="s">
        <v>209</v>
      </c>
      <c r="N14" s="13">
        <f t="shared" si="0"/>
        <v>0</v>
      </c>
      <c r="O14" s="13">
        <f t="shared" si="1"/>
        <v>0</v>
      </c>
      <c r="P14" s="13">
        <f t="shared" si="2"/>
        <v>0</v>
      </c>
      <c r="Q14" s="13">
        <f t="shared" si="3"/>
        <v>0</v>
      </c>
      <c r="R14" s="19"/>
    </row>
    <row r="15" spans="1:18" ht="15" customHeight="1" x14ac:dyDescent="0.35">
      <c r="A15" s="12">
        <v>3135076</v>
      </c>
      <c r="B15" s="12" t="s">
        <v>115</v>
      </c>
      <c r="C15" s="13" t="s">
        <v>209</v>
      </c>
      <c r="D15" s="13"/>
      <c r="E15" s="13"/>
      <c r="F15" s="13"/>
      <c r="G15" s="13"/>
      <c r="H15" s="13"/>
      <c r="I15" s="13"/>
      <c r="J15" s="19" t="s">
        <v>209</v>
      </c>
      <c r="K15" s="19" t="s">
        <v>209</v>
      </c>
      <c r="L15" s="19" t="s">
        <v>209</v>
      </c>
      <c r="M15" s="19" t="s">
        <v>209</v>
      </c>
      <c r="N15" s="13">
        <f t="shared" si="0"/>
        <v>0</v>
      </c>
      <c r="O15" s="13">
        <f t="shared" si="1"/>
        <v>0</v>
      </c>
      <c r="P15" s="13">
        <f t="shared" si="2"/>
        <v>0</v>
      </c>
      <c r="Q15" s="13">
        <f t="shared" si="3"/>
        <v>0</v>
      </c>
      <c r="R15" s="19"/>
    </row>
    <row r="16" spans="1:18" ht="15" customHeight="1" x14ac:dyDescent="0.35">
      <c r="A16" s="12">
        <v>3135407</v>
      </c>
      <c r="B16" s="12" t="s">
        <v>117</v>
      </c>
      <c r="C16" s="13" t="s">
        <v>208</v>
      </c>
      <c r="D16" s="13"/>
      <c r="E16" s="13"/>
      <c r="F16" s="13"/>
      <c r="G16" s="13"/>
      <c r="H16" s="13"/>
      <c r="I16" s="13"/>
      <c r="J16" s="19" t="s">
        <v>209</v>
      </c>
      <c r="K16" s="19" t="s">
        <v>209</v>
      </c>
      <c r="L16" s="19" t="s">
        <v>209</v>
      </c>
      <c r="M16" s="19" t="s">
        <v>209</v>
      </c>
      <c r="N16" s="13">
        <f t="shared" si="0"/>
        <v>0</v>
      </c>
      <c r="O16" s="13">
        <f t="shared" si="1"/>
        <v>0</v>
      </c>
      <c r="P16" s="13">
        <f t="shared" si="2"/>
        <v>0</v>
      </c>
      <c r="Q16" s="13">
        <f t="shared" si="3"/>
        <v>0</v>
      </c>
      <c r="R16" s="19"/>
    </row>
    <row r="17" spans="1:18" ht="15" customHeight="1" x14ac:dyDescent="0.35">
      <c r="A17" s="12">
        <v>3135506</v>
      </c>
      <c r="B17" s="12" t="s">
        <v>119</v>
      </c>
      <c r="C17" s="13" t="s">
        <v>208</v>
      </c>
      <c r="D17" s="13"/>
      <c r="E17" s="13"/>
      <c r="F17" s="13">
        <v>421</v>
      </c>
      <c r="G17" s="13"/>
      <c r="H17" s="13"/>
      <c r="I17" s="13">
        <v>45</v>
      </c>
      <c r="J17" s="19" t="s">
        <v>209</v>
      </c>
      <c r="K17" s="19" t="s">
        <v>209</v>
      </c>
      <c r="L17" s="19" t="s">
        <v>209</v>
      </c>
      <c r="M17" s="19" t="s">
        <v>209</v>
      </c>
      <c r="N17" s="13">
        <f t="shared" si="0"/>
        <v>0</v>
      </c>
      <c r="O17" s="13">
        <f t="shared" si="1"/>
        <v>0</v>
      </c>
      <c r="P17" s="13">
        <f t="shared" si="2"/>
        <v>0</v>
      </c>
      <c r="Q17" s="13">
        <f t="shared" si="3"/>
        <v>0</v>
      </c>
      <c r="R17" s="19"/>
    </row>
    <row r="18" spans="1:18" ht="15" customHeight="1" x14ac:dyDescent="0.35">
      <c r="A18" s="12">
        <v>3137700</v>
      </c>
      <c r="B18" s="12" t="s">
        <v>121</v>
      </c>
      <c r="C18" s="13" t="s">
        <v>208</v>
      </c>
      <c r="D18" s="13"/>
      <c r="E18" s="13"/>
      <c r="F18" s="13">
        <v>900</v>
      </c>
      <c r="G18" s="13"/>
      <c r="H18" s="13"/>
      <c r="I18" s="13"/>
      <c r="J18" s="19" t="s">
        <v>209</v>
      </c>
      <c r="K18" s="19" t="s">
        <v>209</v>
      </c>
      <c r="L18" s="19" t="s">
        <v>209</v>
      </c>
      <c r="M18" s="19" t="s">
        <v>209</v>
      </c>
      <c r="N18" s="13">
        <f t="shared" si="0"/>
        <v>0</v>
      </c>
      <c r="O18" s="13">
        <f t="shared" si="1"/>
        <v>0</v>
      </c>
      <c r="P18" s="13">
        <f t="shared" si="2"/>
        <v>0</v>
      </c>
      <c r="Q18" s="13">
        <f t="shared" si="3"/>
        <v>0</v>
      </c>
      <c r="R18" s="19"/>
    </row>
    <row r="19" spans="1:18" ht="15" customHeight="1" x14ac:dyDescent="0.35">
      <c r="A19" s="12">
        <v>3138609</v>
      </c>
      <c r="B19" s="12" t="s">
        <v>122</v>
      </c>
      <c r="C19" s="13" t="s">
        <v>208</v>
      </c>
      <c r="D19" s="13"/>
      <c r="E19" s="13"/>
      <c r="F19" s="13">
        <v>250</v>
      </c>
      <c r="G19" s="13"/>
      <c r="H19" s="13"/>
      <c r="I19" s="13">
        <v>300</v>
      </c>
      <c r="J19" s="19" t="s">
        <v>209</v>
      </c>
      <c r="K19" s="19" t="s">
        <v>209</v>
      </c>
      <c r="L19" s="19" t="s">
        <v>209</v>
      </c>
      <c r="M19" s="19" t="s">
        <v>209</v>
      </c>
      <c r="N19" s="13">
        <f t="shared" si="0"/>
        <v>0</v>
      </c>
      <c r="O19" s="13">
        <f t="shared" si="1"/>
        <v>0</v>
      </c>
      <c r="P19" s="13">
        <f t="shared" si="2"/>
        <v>0</v>
      </c>
      <c r="Q19" s="13">
        <f t="shared" si="3"/>
        <v>0</v>
      </c>
      <c r="R19" s="19"/>
    </row>
    <row r="20" spans="1:18" ht="15" customHeight="1" x14ac:dyDescent="0.35">
      <c r="A20" s="12">
        <v>3139409</v>
      </c>
      <c r="B20" s="12" t="s">
        <v>123</v>
      </c>
      <c r="C20" s="13" t="s">
        <v>209</v>
      </c>
      <c r="D20" s="13"/>
      <c r="E20" s="13"/>
      <c r="F20" s="13"/>
      <c r="G20" s="13"/>
      <c r="H20" s="13"/>
      <c r="I20" s="13"/>
      <c r="J20" s="19" t="s">
        <v>209</v>
      </c>
      <c r="K20" s="19" t="s">
        <v>209</v>
      </c>
      <c r="L20" s="19" t="s">
        <v>209</v>
      </c>
      <c r="M20" s="19" t="s">
        <v>209</v>
      </c>
      <c r="N20" s="13">
        <f t="shared" si="0"/>
        <v>0</v>
      </c>
      <c r="O20" s="13">
        <f t="shared" si="1"/>
        <v>0</v>
      </c>
      <c r="P20" s="13">
        <f t="shared" si="2"/>
        <v>0</v>
      </c>
      <c r="Q20" s="13">
        <f t="shared" si="3"/>
        <v>0</v>
      </c>
      <c r="R20" s="19"/>
    </row>
    <row r="21" spans="1:18" ht="15" customHeight="1" x14ac:dyDescent="0.35">
      <c r="A21" s="12">
        <v>3139508</v>
      </c>
      <c r="B21" s="12" t="s">
        <v>125</v>
      </c>
      <c r="C21" s="13" t="s">
        <v>208</v>
      </c>
      <c r="D21" s="13"/>
      <c r="E21" s="13"/>
      <c r="F21" s="13">
        <v>1320</v>
      </c>
      <c r="G21" s="13"/>
      <c r="H21" s="13"/>
      <c r="I21" s="13">
        <v>1052</v>
      </c>
      <c r="J21" s="19" t="s">
        <v>209</v>
      </c>
      <c r="K21" s="19" t="s">
        <v>209</v>
      </c>
      <c r="L21" s="19" t="s">
        <v>209</v>
      </c>
      <c r="M21" s="19" t="s">
        <v>209</v>
      </c>
      <c r="N21" s="13">
        <f t="shared" si="0"/>
        <v>0</v>
      </c>
      <c r="O21" s="13">
        <f t="shared" si="1"/>
        <v>0</v>
      </c>
      <c r="P21" s="13">
        <f t="shared" si="2"/>
        <v>0</v>
      </c>
      <c r="Q21" s="13">
        <f t="shared" si="3"/>
        <v>0</v>
      </c>
      <c r="R21" s="19"/>
    </row>
    <row r="22" spans="1:18" ht="15" customHeight="1" x14ac:dyDescent="0.35">
      <c r="A22" s="12">
        <v>3139607</v>
      </c>
      <c r="B22" s="12" t="s">
        <v>126</v>
      </c>
      <c r="C22" s="13" t="s">
        <v>208</v>
      </c>
      <c r="D22" s="13"/>
      <c r="E22" s="13"/>
      <c r="F22" s="13">
        <v>1200</v>
      </c>
      <c r="G22" s="13">
        <v>400</v>
      </c>
      <c r="H22" s="13"/>
      <c r="I22" s="13">
        <v>1600</v>
      </c>
      <c r="J22" s="19" t="s">
        <v>209</v>
      </c>
      <c r="K22" s="19" t="s">
        <v>209</v>
      </c>
      <c r="L22" s="19" t="s">
        <v>209</v>
      </c>
      <c r="M22" s="19" t="s">
        <v>209</v>
      </c>
      <c r="N22" s="13">
        <f t="shared" si="0"/>
        <v>0</v>
      </c>
      <c r="O22" s="13">
        <f t="shared" si="1"/>
        <v>0</v>
      </c>
      <c r="P22" s="13">
        <f t="shared" si="2"/>
        <v>0</v>
      </c>
      <c r="Q22" s="13">
        <f t="shared" si="3"/>
        <v>0</v>
      </c>
      <c r="R22" s="19"/>
    </row>
    <row r="23" spans="1:18" ht="15" customHeight="1" x14ac:dyDescent="0.35">
      <c r="A23" s="12">
        <v>3140001</v>
      </c>
      <c r="B23" s="12" t="s">
        <v>127</v>
      </c>
      <c r="C23" s="13" t="s">
        <v>208</v>
      </c>
      <c r="D23" s="13"/>
      <c r="E23" s="13"/>
      <c r="F23" s="13"/>
      <c r="G23" s="13"/>
      <c r="H23" s="13">
        <v>12</v>
      </c>
      <c r="I23" s="13">
        <v>170</v>
      </c>
      <c r="J23" s="19" t="s">
        <v>209</v>
      </c>
      <c r="K23" s="19" t="s">
        <v>209</v>
      </c>
      <c r="L23" s="19" t="s">
        <v>209</v>
      </c>
      <c r="M23" s="19" t="s">
        <v>209</v>
      </c>
      <c r="N23" s="13">
        <f t="shared" si="0"/>
        <v>0</v>
      </c>
      <c r="O23" s="13">
        <f t="shared" si="1"/>
        <v>0</v>
      </c>
      <c r="P23" s="13">
        <f t="shared" si="2"/>
        <v>0</v>
      </c>
      <c r="Q23" s="13">
        <f t="shared" si="3"/>
        <v>0</v>
      </c>
      <c r="R23" s="19"/>
    </row>
    <row r="24" spans="1:18" ht="15" customHeight="1" x14ac:dyDescent="0.35">
      <c r="A24" s="12">
        <v>3143906</v>
      </c>
      <c r="B24" s="12" t="s">
        <v>129</v>
      </c>
      <c r="C24" s="13" t="s">
        <v>208</v>
      </c>
      <c r="D24" s="13"/>
      <c r="E24" s="13"/>
      <c r="F24" s="13"/>
      <c r="G24" s="13"/>
      <c r="H24" s="13"/>
      <c r="I24" s="13"/>
      <c r="J24" s="19" t="s">
        <v>209</v>
      </c>
      <c r="K24" s="19" t="s">
        <v>209</v>
      </c>
      <c r="L24" s="19" t="s">
        <v>209</v>
      </c>
      <c r="M24" s="19" t="s">
        <v>209</v>
      </c>
      <c r="N24" s="13">
        <f t="shared" si="0"/>
        <v>0</v>
      </c>
      <c r="O24" s="13">
        <f t="shared" si="1"/>
        <v>0</v>
      </c>
      <c r="P24" s="13">
        <f t="shared" si="2"/>
        <v>0</v>
      </c>
      <c r="Q24" s="13">
        <f t="shared" si="3"/>
        <v>0</v>
      </c>
      <c r="R24" s="19"/>
    </row>
    <row r="25" spans="1:18" ht="15" customHeight="1" x14ac:dyDescent="0.35">
      <c r="A25" s="12">
        <v>3145851</v>
      </c>
      <c r="B25" s="12" t="s">
        <v>131</v>
      </c>
      <c r="C25" s="13" t="s">
        <v>208</v>
      </c>
      <c r="D25" s="13"/>
      <c r="E25" s="13"/>
      <c r="F25" s="13"/>
      <c r="G25" s="13"/>
      <c r="H25" s="13"/>
      <c r="I25" s="13"/>
      <c r="J25" s="19" t="s">
        <v>209</v>
      </c>
      <c r="K25" s="19" t="s">
        <v>209</v>
      </c>
      <c r="L25" s="19" t="s">
        <v>209</v>
      </c>
      <c r="M25" s="19" t="s">
        <v>209</v>
      </c>
      <c r="N25" s="13">
        <f t="shared" si="0"/>
        <v>0</v>
      </c>
      <c r="O25" s="13">
        <f t="shared" si="1"/>
        <v>0</v>
      </c>
      <c r="P25" s="13">
        <f t="shared" si="2"/>
        <v>0</v>
      </c>
      <c r="Q25" s="13">
        <f t="shared" si="3"/>
        <v>0</v>
      </c>
      <c r="R25" s="19"/>
    </row>
    <row r="26" spans="1:18" ht="15" customHeight="1" x14ac:dyDescent="0.35">
      <c r="A26" s="12">
        <v>3150604</v>
      </c>
      <c r="B26" s="12" t="s">
        <v>132</v>
      </c>
      <c r="C26" s="13" t="s">
        <v>208</v>
      </c>
      <c r="D26" s="13"/>
      <c r="E26" s="13"/>
      <c r="F26" s="13">
        <v>700</v>
      </c>
      <c r="G26" s="13"/>
      <c r="H26" s="13">
        <v>100</v>
      </c>
      <c r="I26" s="13">
        <v>700</v>
      </c>
      <c r="J26" s="19" t="s">
        <v>209</v>
      </c>
      <c r="K26" s="19" t="s">
        <v>209</v>
      </c>
      <c r="L26" s="19" t="s">
        <v>209</v>
      </c>
      <c r="M26" s="19" t="s">
        <v>209</v>
      </c>
      <c r="N26" s="13">
        <f t="shared" si="0"/>
        <v>0</v>
      </c>
      <c r="O26" s="13">
        <f t="shared" si="1"/>
        <v>0</v>
      </c>
      <c r="P26" s="13">
        <f t="shared" si="2"/>
        <v>0</v>
      </c>
      <c r="Q26" s="13">
        <f t="shared" si="3"/>
        <v>0</v>
      </c>
      <c r="R26" s="19"/>
    </row>
    <row r="27" spans="1:18" ht="15" customHeight="1" x14ac:dyDescent="0.35">
      <c r="A27" s="12">
        <v>3151909</v>
      </c>
      <c r="B27" s="12" t="s">
        <v>134</v>
      </c>
      <c r="C27" s="13" t="s">
        <v>208</v>
      </c>
      <c r="D27" s="13"/>
      <c r="E27" s="13"/>
      <c r="F27" s="13">
        <v>1015</v>
      </c>
      <c r="G27" s="13">
        <v>4</v>
      </c>
      <c r="H27" s="13"/>
      <c r="I27" s="13"/>
      <c r="J27" s="19" t="s">
        <v>209</v>
      </c>
      <c r="K27" s="19" t="s">
        <v>209</v>
      </c>
      <c r="L27" s="19" t="s">
        <v>209</v>
      </c>
      <c r="M27" s="19" t="s">
        <v>209</v>
      </c>
      <c r="N27" s="13">
        <f t="shared" si="0"/>
        <v>0</v>
      </c>
      <c r="O27" s="13">
        <f t="shared" si="1"/>
        <v>0</v>
      </c>
      <c r="P27" s="13">
        <f t="shared" si="2"/>
        <v>0</v>
      </c>
      <c r="Q27" s="13">
        <f t="shared" si="3"/>
        <v>0</v>
      </c>
      <c r="R27" s="19"/>
    </row>
    <row r="28" spans="1:18" ht="15" customHeight="1" x14ac:dyDescent="0.35">
      <c r="A28" s="12">
        <v>3152105</v>
      </c>
      <c r="B28" s="12" t="s">
        <v>135</v>
      </c>
      <c r="C28" s="13" t="s">
        <v>208</v>
      </c>
      <c r="D28" s="13">
        <v>479</v>
      </c>
      <c r="E28" s="13"/>
      <c r="F28" s="13">
        <v>1000</v>
      </c>
      <c r="G28" s="13"/>
      <c r="H28" s="13"/>
      <c r="I28" s="13">
        <v>1316</v>
      </c>
      <c r="J28" s="19" t="s">
        <v>209</v>
      </c>
      <c r="K28" s="19" t="s">
        <v>209</v>
      </c>
      <c r="L28" s="19" t="s">
        <v>209</v>
      </c>
      <c r="M28" s="19" t="s">
        <v>209</v>
      </c>
      <c r="N28" s="13">
        <f t="shared" si="0"/>
        <v>0</v>
      </c>
      <c r="O28" s="13">
        <f t="shared" si="1"/>
        <v>0</v>
      </c>
      <c r="P28" s="13">
        <f t="shared" si="2"/>
        <v>0</v>
      </c>
      <c r="Q28" s="13">
        <f t="shared" si="3"/>
        <v>0</v>
      </c>
      <c r="R28" s="19"/>
    </row>
    <row r="29" spans="1:18" ht="15" customHeight="1" x14ac:dyDescent="0.35">
      <c r="A29" s="12">
        <v>3154002</v>
      </c>
      <c r="B29" s="12" t="s">
        <v>137</v>
      </c>
      <c r="C29" s="13" t="s">
        <v>208</v>
      </c>
      <c r="D29" s="13"/>
      <c r="E29" s="13"/>
      <c r="F29" s="13"/>
      <c r="G29" s="13"/>
      <c r="H29" s="13"/>
      <c r="I29" s="13"/>
      <c r="J29" s="19" t="s">
        <v>209</v>
      </c>
      <c r="K29" s="19" t="s">
        <v>209</v>
      </c>
      <c r="L29" s="19" t="s">
        <v>209</v>
      </c>
      <c r="M29" s="19" t="s">
        <v>209</v>
      </c>
      <c r="N29" s="13">
        <f t="shared" si="0"/>
        <v>0</v>
      </c>
      <c r="O29" s="13">
        <f t="shared" si="1"/>
        <v>0</v>
      </c>
      <c r="P29" s="13">
        <f t="shared" si="2"/>
        <v>0</v>
      </c>
      <c r="Q29" s="13">
        <f t="shared" si="3"/>
        <v>0</v>
      </c>
      <c r="R29" s="19"/>
    </row>
    <row r="30" spans="1:18" ht="15" customHeight="1" x14ac:dyDescent="0.35">
      <c r="A30" s="12">
        <v>3154101</v>
      </c>
      <c r="B30" s="12" t="s">
        <v>138</v>
      </c>
      <c r="C30" s="13" t="s">
        <v>208</v>
      </c>
      <c r="D30" s="13"/>
      <c r="E30" s="13"/>
      <c r="F30" s="13">
        <v>40</v>
      </c>
      <c r="G30" s="13"/>
      <c r="H30" s="13"/>
      <c r="I30" s="13"/>
      <c r="J30" s="19" t="s">
        <v>209</v>
      </c>
      <c r="K30" s="19" t="s">
        <v>209</v>
      </c>
      <c r="L30" s="19" t="s">
        <v>209</v>
      </c>
      <c r="M30" s="19" t="s">
        <v>209</v>
      </c>
      <c r="N30" s="13">
        <f t="shared" si="0"/>
        <v>0</v>
      </c>
      <c r="O30" s="13">
        <f t="shared" si="1"/>
        <v>0</v>
      </c>
      <c r="P30" s="13">
        <f t="shared" si="2"/>
        <v>0</v>
      </c>
      <c r="Q30" s="13">
        <f t="shared" si="3"/>
        <v>0</v>
      </c>
      <c r="R30" s="19"/>
    </row>
    <row r="31" spans="1:18" ht="15" customHeight="1" x14ac:dyDescent="0.35">
      <c r="A31" s="12">
        <v>3154150</v>
      </c>
      <c r="B31" s="12" t="s">
        <v>139</v>
      </c>
      <c r="C31" s="13" t="s">
        <v>209</v>
      </c>
      <c r="D31" s="13"/>
      <c r="E31" s="13"/>
      <c r="F31" s="13"/>
      <c r="G31" s="13"/>
      <c r="H31" s="13"/>
      <c r="I31" s="13"/>
      <c r="J31" s="19" t="s">
        <v>209</v>
      </c>
      <c r="K31" s="19" t="s">
        <v>209</v>
      </c>
      <c r="L31" s="19" t="s">
        <v>209</v>
      </c>
      <c r="M31" s="19" t="s">
        <v>209</v>
      </c>
      <c r="N31" s="13">
        <f t="shared" si="0"/>
        <v>0</v>
      </c>
      <c r="O31" s="13">
        <f t="shared" si="1"/>
        <v>0</v>
      </c>
      <c r="P31" s="13">
        <f t="shared" si="2"/>
        <v>0</v>
      </c>
      <c r="Q31" s="13">
        <f t="shared" si="3"/>
        <v>0</v>
      </c>
      <c r="R31" s="19"/>
    </row>
    <row r="32" spans="1:18" ht="15" customHeight="1" x14ac:dyDescent="0.35">
      <c r="A32" s="12">
        <v>3165701</v>
      </c>
      <c r="B32" s="12" t="s">
        <v>141</v>
      </c>
      <c r="C32" s="13" t="s">
        <v>208</v>
      </c>
      <c r="D32" s="13"/>
      <c r="E32" s="13"/>
      <c r="F32" s="13">
        <v>520</v>
      </c>
      <c r="G32" s="13"/>
      <c r="H32" s="13"/>
      <c r="I32" s="13"/>
      <c r="J32" s="19" t="s">
        <v>209</v>
      </c>
      <c r="K32" s="19" t="s">
        <v>209</v>
      </c>
      <c r="L32" s="19" t="s">
        <v>209</v>
      </c>
      <c r="M32" s="19" t="s">
        <v>209</v>
      </c>
      <c r="N32" s="13">
        <f t="shared" si="0"/>
        <v>0</v>
      </c>
      <c r="O32" s="13">
        <f t="shared" si="1"/>
        <v>0</v>
      </c>
      <c r="P32" s="13">
        <f t="shared" si="2"/>
        <v>0</v>
      </c>
      <c r="Q32" s="13">
        <f t="shared" si="3"/>
        <v>0</v>
      </c>
      <c r="R32" s="19"/>
    </row>
    <row r="33" spans="1:18" ht="15" customHeight="1" x14ac:dyDescent="0.35">
      <c r="A33" s="12">
        <v>3161403</v>
      </c>
      <c r="B33" s="12" t="s">
        <v>142</v>
      </c>
      <c r="C33" s="13" t="s">
        <v>208</v>
      </c>
      <c r="D33" s="13"/>
      <c r="E33" s="13"/>
      <c r="F33" s="13"/>
      <c r="G33" s="13"/>
      <c r="H33" s="13"/>
      <c r="I33" s="13"/>
      <c r="J33" s="19" t="s">
        <v>209</v>
      </c>
      <c r="K33" s="19" t="s">
        <v>209</v>
      </c>
      <c r="L33" s="19" t="s">
        <v>209</v>
      </c>
      <c r="M33" s="19" t="s">
        <v>209</v>
      </c>
      <c r="N33" s="13">
        <f t="shared" si="0"/>
        <v>0</v>
      </c>
      <c r="O33" s="13">
        <f t="shared" si="1"/>
        <v>0</v>
      </c>
      <c r="P33" s="13">
        <f t="shared" si="2"/>
        <v>0</v>
      </c>
      <c r="Q33" s="13">
        <f t="shared" si="3"/>
        <v>0</v>
      </c>
      <c r="R33" s="19"/>
    </row>
    <row r="34" spans="1:18" ht="15" customHeight="1" x14ac:dyDescent="0.35">
      <c r="A34" s="12">
        <v>3168051</v>
      </c>
      <c r="B34" s="12" t="s">
        <v>144</v>
      </c>
      <c r="C34" s="13" t="s">
        <v>208</v>
      </c>
      <c r="D34" s="13"/>
      <c r="E34" s="13"/>
      <c r="F34" s="13">
        <v>498</v>
      </c>
      <c r="G34" s="13"/>
      <c r="H34" s="13"/>
      <c r="I34" s="13">
        <v>498</v>
      </c>
      <c r="J34" s="19" t="s">
        <v>209</v>
      </c>
      <c r="K34" s="19" t="s">
        <v>209</v>
      </c>
      <c r="L34" s="19" t="s">
        <v>209</v>
      </c>
      <c r="M34" s="19" t="s">
        <v>209</v>
      </c>
      <c r="N34" s="13">
        <f t="shared" si="0"/>
        <v>0</v>
      </c>
      <c r="O34" s="13">
        <f t="shared" si="1"/>
        <v>0</v>
      </c>
      <c r="P34" s="13">
        <f t="shared" si="2"/>
        <v>0</v>
      </c>
      <c r="Q34" s="13">
        <f t="shared" si="3"/>
        <v>0</v>
      </c>
      <c r="R34" s="19"/>
    </row>
    <row r="35" spans="1:18" ht="15" customHeight="1" x14ac:dyDescent="0.35">
      <c r="A35" s="12">
        <v>3169000</v>
      </c>
      <c r="B35" s="12" t="s">
        <v>146</v>
      </c>
      <c r="C35" s="13" t="s">
        <v>208</v>
      </c>
      <c r="D35" s="13"/>
      <c r="E35" s="13"/>
      <c r="F35" s="13">
        <v>1170</v>
      </c>
      <c r="G35" s="13"/>
      <c r="H35" s="13"/>
      <c r="I35" s="13">
        <v>1170</v>
      </c>
      <c r="J35" s="19" t="s">
        <v>209</v>
      </c>
      <c r="K35" s="19" t="s">
        <v>209</v>
      </c>
      <c r="L35" s="19" t="s">
        <v>209</v>
      </c>
      <c r="M35" s="19" t="s">
        <v>209</v>
      </c>
      <c r="N35" s="13">
        <f t="shared" si="0"/>
        <v>0</v>
      </c>
      <c r="O35" s="13">
        <f t="shared" si="1"/>
        <v>0</v>
      </c>
      <c r="P35" s="13">
        <f t="shared" si="2"/>
        <v>0</v>
      </c>
      <c r="Q35" s="13">
        <f t="shared" si="3"/>
        <v>0</v>
      </c>
      <c r="R35" s="19"/>
    </row>
    <row r="36" spans="1:18" ht="15" customHeight="1" x14ac:dyDescent="0.35">
      <c r="A36" s="12">
        <v>3169208</v>
      </c>
      <c r="B36" s="12" t="s">
        <v>148</v>
      </c>
      <c r="C36" s="13" t="s">
        <v>208</v>
      </c>
      <c r="D36" s="13"/>
      <c r="E36" s="13"/>
      <c r="F36" s="13"/>
      <c r="G36" s="13"/>
      <c r="H36" s="13"/>
      <c r="I36" s="13"/>
      <c r="J36" s="19" t="s">
        <v>209</v>
      </c>
      <c r="K36" s="19" t="s">
        <v>209</v>
      </c>
      <c r="L36" s="19" t="s">
        <v>209</v>
      </c>
      <c r="M36" s="19" t="s">
        <v>209</v>
      </c>
      <c r="N36" s="13">
        <f t="shared" si="0"/>
        <v>0</v>
      </c>
      <c r="O36" s="13">
        <f t="shared" si="1"/>
        <v>0</v>
      </c>
      <c r="P36" s="13">
        <f t="shared" si="2"/>
        <v>0</v>
      </c>
      <c r="Q36" s="13">
        <f t="shared" si="3"/>
        <v>0</v>
      </c>
      <c r="R36" s="19"/>
    </row>
    <row r="37" spans="1:18" ht="15" customHeight="1" x14ac:dyDescent="0.35">
      <c r="A37" s="12">
        <v>3171154</v>
      </c>
      <c r="B37" s="12" t="s">
        <v>149</v>
      </c>
      <c r="C37" s="13" t="s">
        <v>208</v>
      </c>
      <c r="D37" s="13"/>
      <c r="E37" s="13"/>
      <c r="F37" s="13">
        <v>1312</v>
      </c>
      <c r="G37" s="13"/>
      <c r="H37" s="13"/>
      <c r="I37" s="13">
        <v>1312</v>
      </c>
      <c r="J37" s="19" t="s">
        <v>209</v>
      </c>
      <c r="K37" s="19" t="s">
        <v>209</v>
      </c>
      <c r="L37" s="19" t="s">
        <v>209</v>
      </c>
      <c r="M37" s="19" t="s">
        <v>209</v>
      </c>
      <c r="N37" s="13">
        <f t="shared" si="0"/>
        <v>0</v>
      </c>
      <c r="O37" s="13">
        <f t="shared" si="1"/>
        <v>0</v>
      </c>
      <c r="P37" s="13">
        <f t="shared" si="2"/>
        <v>0</v>
      </c>
      <c r="Q37" s="13">
        <f t="shared" si="3"/>
        <v>0</v>
      </c>
      <c r="R37" s="19"/>
    </row>
    <row r="38" spans="1:18" ht="15" customHeight="1" x14ac:dyDescent="0.35">
      <c r="A38" s="12">
        <v>3171303</v>
      </c>
      <c r="B38" s="12" t="s">
        <v>150</v>
      </c>
      <c r="C38" s="13" t="s">
        <v>208</v>
      </c>
      <c r="D38" s="13"/>
      <c r="E38" s="13"/>
      <c r="F38" s="13"/>
      <c r="G38" s="13"/>
      <c r="H38" s="13"/>
      <c r="I38" s="13"/>
      <c r="J38" s="19" t="s">
        <v>209</v>
      </c>
      <c r="K38" s="19" t="s">
        <v>209</v>
      </c>
      <c r="L38" s="19" t="s">
        <v>209</v>
      </c>
      <c r="M38" s="19" t="s">
        <v>209</v>
      </c>
      <c r="N38" s="13">
        <f t="shared" si="0"/>
        <v>0</v>
      </c>
      <c r="O38" s="13">
        <f t="shared" si="1"/>
        <v>0</v>
      </c>
      <c r="P38" s="13">
        <f t="shared" si="2"/>
        <v>0</v>
      </c>
      <c r="Q38" s="13">
        <f t="shared" si="3"/>
        <v>0</v>
      </c>
      <c r="R38" s="19"/>
    </row>
    <row r="39" spans="1:18" ht="15" customHeight="1" x14ac:dyDescent="0.35">
      <c r="A39" s="12">
        <v>3167202</v>
      </c>
      <c r="B39" s="12" t="s">
        <v>151</v>
      </c>
      <c r="C39" s="13" t="s">
        <v>208</v>
      </c>
      <c r="D39" s="13"/>
      <c r="E39" s="13"/>
      <c r="F39" s="13"/>
      <c r="G39" s="13"/>
      <c r="H39" s="13">
        <v>2036</v>
      </c>
      <c r="I39" s="13">
        <v>226</v>
      </c>
      <c r="J39" s="19" t="s">
        <v>209</v>
      </c>
      <c r="K39" s="19" t="s">
        <v>209</v>
      </c>
      <c r="L39" s="19" t="s">
        <v>209</v>
      </c>
      <c r="M39" s="19" t="s">
        <v>209</v>
      </c>
      <c r="N39" s="13">
        <f t="shared" si="0"/>
        <v>0</v>
      </c>
      <c r="O39" s="13">
        <f t="shared" si="1"/>
        <v>0</v>
      </c>
      <c r="P39" s="13">
        <f t="shared" si="2"/>
        <v>0</v>
      </c>
      <c r="Q39" s="13">
        <f t="shared" si="3"/>
        <v>0</v>
      </c>
      <c r="R39" s="19"/>
    </row>
    <row r="40" spans="1:18" ht="15" customHeight="1" x14ac:dyDescent="0.35">
      <c r="A40" s="12">
        <v>3146305</v>
      </c>
      <c r="B40" s="12" t="s">
        <v>153</v>
      </c>
      <c r="C40" s="13" t="s">
        <v>208</v>
      </c>
      <c r="D40" s="13"/>
      <c r="E40" s="13"/>
      <c r="F40" s="13"/>
      <c r="G40" s="13"/>
      <c r="H40" s="13"/>
      <c r="I40" s="13">
        <v>1500</v>
      </c>
      <c r="J40" s="19" t="s">
        <v>209</v>
      </c>
      <c r="K40" s="19" t="s">
        <v>209</v>
      </c>
      <c r="L40" s="19" t="s">
        <v>209</v>
      </c>
      <c r="M40" s="19" t="s">
        <v>209</v>
      </c>
      <c r="N40" s="13">
        <f t="shared" si="0"/>
        <v>0</v>
      </c>
      <c r="O40" s="13">
        <f t="shared" si="1"/>
        <v>0</v>
      </c>
      <c r="P40" s="13">
        <f t="shared" si="2"/>
        <v>0</v>
      </c>
      <c r="Q40" s="13">
        <f t="shared" si="3"/>
        <v>0</v>
      </c>
      <c r="R40" s="19"/>
    </row>
    <row r="41" spans="1:18" ht="15" customHeight="1" x14ac:dyDescent="0.35">
      <c r="A41" s="12">
        <v>3120607</v>
      </c>
      <c r="B41" s="12" t="s">
        <v>155</v>
      </c>
      <c r="C41" s="13" t="s">
        <v>208</v>
      </c>
      <c r="D41" s="13"/>
      <c r="E41" s="13"/>
      <c r="F41" s="13"/>
      <c r="G41" s="13"/>
      <c r="H41" s="13"/>
      <c r="I41" s="13"/>
      <c r="J41" s="19" t="s">
        <v>209</v>
      </c>
      <c r="K41" s="19" t="s">
        <v>209</v>
      </c>
      <c r="L41" s="19" t="s">
        <v>209</v>
      </c>
      <c r="M41" s="19" t="s">
        <v>209</v>
      </c>
      <c r="N41" s="13">
        <f t="shared" si="0"/>
        <v>0</v>
      </c>
      <c r="O41" s="13">
        <f t="shared" si="1"/>
        <v>0</v>
      </c>
      <c r="P41" s="13">
        <f t="shared" si="2"/>
        <v>0</v>
      </c>
      <c r="Q41" s="13">
        <f t="shared" si="3"/>
        <v>0</v>
      </c>
      <c r="R41" s="19"/>
    </row>
    <row r="42" spans="1:18" ht="15" customHeight="1" x14ac:dyDescent="0.35">
      <c r="A42" s="12">
        <v>3115706</v>
      </c>
      <c r="B42" s="12" t="s">
        <v>157</v>
      </c>
      <c r="C42" s="13" t="s">
        <v>209</v>
      </c>
      <c r="D42" s="13"/>
      <c r="E42" s="13"/>
      <c r="F42" s="13"/>
      <c r="G42" s="13"/>
      <c r="H42" s="13"/>
      <c r="I42" s="13"/>
      <c r="J42" s="19" t="s">
        <v>209</v>
      </c>
      <c r="K42" s="19" t="s">
        <v>209</v>
      </c>
      <c r="L42" s="19" t="s">
        <v>209</v>
      </c>
      <c r="M42" s="19" t="s">
        <v>209</v>
      </c>
      <c r="N42" s="13">
        <f t="shared" si="0"/>
        <v>0</v>
      </c>
      <c r="O42" s="13">
        <f t="shared" si="1"/>
        <v>0</v>
      </c>
      <c r="P42" s="13">
        <f t="shared" si="2"/>
        <v>0</v>
      </c>
      <c r="Q42" s="13">
        <f t="shared" si="3"/>
        <v>0</v>
      </c>
      <c r="R42" s="19"/>
    </row>
    <row r="44" spans="1:18" ht="15" customHeight="1" x14ac:dyDescent="0.35">
      <c r="B44" s="9" t="s">
        <v>210</v>
      </c>
    </row>
  </sheetData>
  <dataValidations count="1">
    <dataValidation type="list" sqref="J3:M42" xr:uid="{00000000-0002-0000-0500-000000000000}">
      <formula1>"Sim,Não"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14</vt:i4>
      </vt:variant>
    </vt:vector>
  </HeadingPairs>
  <TitlesOfParts>
    <vt:vector size="14" baseType="lpstr">
      <vt:lpstr>Resultados</vt:lpstr>
      <vt:lpstr>Memoria de calculo - NR8</vt:lpstr>
      <vt:lpstr>Memoria de calculo - NR9</vt:lpstr>
      <vt:lpstr>Diagnostico</vt:lpstr>
      <vt:lpstr>Parametros</vt:lpstr>
      <vt:lpstr>Base_SINISA_Agua</vt:lpstr>
      <vt:lpstr>Base_SINISA_Esgoto</vt:lpstr>
      <vt:lpstr>Base_Denominadores</vt:lpstr>
      <vt:lpstr>Sol_Alternativas</vt:lpstr>
      <vt:lpstr>Base_SINISA_2023</vt:lpstr>
      <vt:lpstr>Base_SINISA_Esgoto_2023</vt:lpstr>
      <vt:lpstr>Controle_Oficios</vt:lpstr>
      <vt:lpstr>Verificacao_Integridade</vt:lpstr>
      <vt:lpstr>Leia-me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Rodrigo Pena</cp:lastModifiedBy>
  <cp:revision>0</cp:revision>
  <dcterms:created xsi:type="dcterms:W3CDTF">2026-08-10T12:16:23Z</dcterms:created>
  <dcterms:modified xsi:type="dcterms:W3CDTF">2026-08-11T14:56:03Z</dcterms:modified>
  <dc:language>en-US</dc:language>
</cp:coreProperties>
</file>